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5" yWindow="-15" windowWidth="10320" windowHeight="7650" tabRatio="941"/>
  </bookViews>
  <sheets>
    <sheet name="BS" sheetId="1" r:id="rId1"/>
    <sheet name="IE" sheetId="2" r:id="rId2"/>
    <sheet name="Capi" sheetId="4" r:id="rId3"/>
    <sheet name="S 3" sheetId="3" r:id="rId4"/>
    <sheet name="R&amp;P" sheetId="29" r:id="rId5"/>
    <sheet name="S 4" sheetId="5" r:id="rId6"/>
    <sheet name="S 5 6" sheetId="6" r:id="rId7"/>
    <sheet name="S 7" sheetId="7" r:id="rId8"/>
    <sheet name="S 8" sheetId="8" r:id="rId9"/>
    <sheet name="S 9 10" sheetId="9" r:id="rId10"/>
    <sheet name="S 11 " sheetId="10" r:id="rId11"/>
    <sheet name="S 11 c" sheetId="11" r:id="rId12"/>
    <sheet name="S 12 13" sheetId="12" r:id="rId13"/>
    <sheet name="S 14 15" sheetId="13" r:id="rId14"/>
    <sheet name="S 16 17" sheetId="14" r:id="rId15"/>
    <sheet name="S 18  20" sheetId="15" r:id="rId16"/>
    <sheet name="S 21" sheetId="16" r:id="rId17"/>
    <sheet name="S 22 23" sheetId="17" r:id="rId18"/>
    <sheet name="Dep {Minor Civil Works}" sheetId="23" r:id="rId19"/>
    <sheet name="Dep" sheetId="19" r:id="rId20"/>
    <sheet name="Cal FA" sheetId="22" r:id="rId21"/>
    <sheet name="Amortization" sheetId="24" r:id="rId22"/>
    <sheet name="Closing Stock" sheetId="25" r:id="rId23"/>
    <sheet name="Medical Equipment- Projects" sheetId="26" r:id="rId24"/>
    <sheet name="Sales of Assets" sheetId="27" r:id="rId25"/>
    <sheet name="Detailed of Sales of Assets" sheetId="28" r:id="rId26"/>
  </sheets>
  <definedNames>
    <definedName name="_xlnm._FilterDatabase" localSheetId="7" hidden="1">'S 7'!$B$1:$B$159</definedName>
    <definedName name="_xlnm.Print_Area" localSheetId="0">BS!$A$1:$D$37</definedName>
    <definedName name="_xlnm.Print_Area" localSheetId="2">Capi!$A$1:$E$39</definedName>
    <definedName name="_xlnm.Print_Area" localSheetId="19">Dep!$A$3:$M$46</definedName>
    <definedName name="_xlnm.Print_Area" localSheetId="1">IE!$A$1:$D$40</definedName>
    <definedName name="_xlnm.Print_Area" localSheetId="4">'R&amp;P'!$A$2:$I$367</definedName>
    <definedName name="_xlnm.Print_Area" localSheetId="10">'S 11 '!$A$1:$E$150</definedName>
    <definedName name="_xlnm.Print_Area" localSheetId="11">'S 11 c'!$A$1:$E$126</definedName>
    <definedName name="_xlnm.Print_Area" localSheetId="12">'S 12 13'!$A$1:$C$79</definedName>
    <definedName name="_xlnm.Print_Area" localSheetId="13">'S 14 15'!$A$1:$E$36</definedName>
    <definedName name="_xlnm.Print_Area" localSheetId="14">'S 16 17'!$A$1:$C$78</definedName>
    <definedName name="_xlnm.Print_Area" localSheetId="15">'S 18  20'!$A$1:$C$81</definedName>
    <definedName name="_xlnm.Print_Area" localSheetId="16">'S 21'!$A$1:$D$108</definedName>
    <definedName name="_xlnm.Print_Area" localSheetId="17">'S 22 23'!$A$1:$C$35</definedName>
    <definedName name="_xlnm.Print_Area" localSheetId="3">'S 3'!$A$1:$G$35</definedName>
    <definedName name="_xlnm.Print_Area" localSheetId="5">'S 4'!$A$1:$E$35</definedName>
    <definedName name="_xlnm.Print_Area" localSheetId="6">'S 5 6'!$A$1:$C$38</definedName>
    <definedName name="_xlnm.Print_Area" localSheetId="7">'S 7'!$A$1:$E$150</definedName>
    <definedName name="_xlnm.Print_Area" localSheetId="8">'S 8'!$A$1:$K$65</definedName>
    <definedName name="_xlnm.Print_Area" localSheetId="9">'S 9 10'!$A$1:$C$39</definedName>
  </definedNames>
  <calcPr calcId="124519"/>
</workbook>
</file>

<file path=xl/calcChain.xml><?xml version="1.0" encoding="utf-8"?>
<calcChain xmlns="http://schemas.openxmlformats.org/spreadsheetml/2006/main">
  <c r="E13" i="4"/>
  <c r="B77" i="12" l="1"/>
  <c r="C8" i="2" s="1"/>
  <c r="I50" i="8"/>
  <c r="E50"/>
  <c r="C52"/>
  <c r="C36"/>
  <c r="H18" i="19"/>
  <c r="H85" i="29"/>
  <c r="K88" s="1"/>
  <c r="K89" s="1"/>
  <c r="K90" s="1"/>
  <c r="L88"/>
  <c r="B20" i="12"/>
  <c r="C7" i="2" s="1"/>
  <c r="C10" i="16"/>
  <c r="C106" i="29"/>
  <c r="H303"/>
  <c r="C131" i="10"/>
  <c r="K41" i="8"/>
  <c r="G38"/>
  <c r="C38"/>
  <c r="C34" i="9"/>
  <c r="K86" i="29" l="1"/>
  <c r="J50" i="8"/>
  <c r="L86" i="29"/>
  <c r="B16" i="14"/>
  <c r="B112" i="11"/>
  <c r="B34" i="9" l="1"/>
  <c r="C66" i="29"/>
  <c r="H88" l="1"/>
  <c r="D106" l="1"/>
  <c r="H188"/>
  <c r="I181"/>
  <c r="H181"/>
  <c r="I327"/>
  <c r="I315"/>
  <c r="H253"/>
  <c r="H74"/>
  <c r="H70"/>
  <c r="H69"/>
  <c r="H65"/>
  <c r="C16" i="16"/>
  <c r="G26" i="8"/>
  <c r="C51" i="16" l="1"/>
  <c r="I45" i="19"/>
  <c r="D45"/>
  <c r="E45"/>
  <c r="G45"/>
  <c r="H45"/>
  <c r="C45"/>
  <c r="C37"/>
  <c r="D37"/>
  <c r="E37"/>
  <c r="G37"/>
  <c r="H37"/>
  <c r="I37"/>
  <c r="D13"/>
  <c r="E13"/>
  <c r="G13"/>
  <c r="H13"/>
  <c r="I13"/>
  <c r="C13"/>
  <c r="D26"/>
  <c r="E26"/>
  <c r="G26"/>
  <c r="I26"/>
  <c r="D30"/>
  <c r="E30"/>
  <c r="G30"/>
  <c r="H30"/>
  <c r="I30"/>
  <c r="C30"/>
  <c r="K35"/>
  <c r="L35" s="1"/>
  <c r="J35"/>
  <c r="F35"/>
  <c r="F44"/>
  <c r="F43"/>
  <c r="F42"/>
  <c r="F41"/>
  <c r="F40"/>
  <c r="F39"/>
  <c r="F36"/>
  <c r="F33"/>
  <c r="F32"/>
  <c r="F29"/>
  <c r="F30" s="1"/>
  <c r="F28"/>
  <c r="F25"/>
  <c r="F24"/>
  <c r="F23"/>
  <c r="F22"/>
  <c r="F19"/>
  <c r="F18"/>
  <c r="F17"/>
  <c r="F16"/>
  <c r="F15"/>
  <c r="F7"/>
  <c r="F8"/>
  <c r="F9"/>
  <c r="F10"/>
  <c r="F11"/>
  <c r="F12"/>
  <c r="F6"/>
  <c r="H25"/>
  <c r="H26"/>
  <c r="F13" l="1"/>
  <c r="F45"/>
  <c r="F37"/>
  <c r="K23"/>
  <c r="K24"/>
  <c r="K22"/>
  <c r="J22"/>
  <c r="C21"/>
  <c r="C43" i="16"/>
  <c r="C60"/>
  <c r="B49" i="15"/>
  <c r="C117" i="11"/>
  <c r="D6" i="13"/>
  <c r="G6"/>
  <c r="B54" i="11"/>
  <c r="B33"/>
  <c r="C149" i="29"/>
  <c r="C147"/>
  <c r="H11"/>
  <c r="D12" i="13"/>
  <c r="B65" i="7"/>
  <c r="B50"/>
  <c r="C78" i="16"/>
  <c r="C79"/>
  <c r="B57" i="15"/>
  <c r="C26" i="19" l="1"/>
  <c r="F21"/>
  <c r="F26" s="1"/>
  <c r="L22"/>
  <c r="M22" s="1"/>
  <c r="B35" i="9"/>
  <c r="C192" i="29"/>
  <c r="B15" i="15"/>
  <c r="C40" i="29"/>
  <c r="C27"/>
  <c r="C48" i="16"/>
  <c r="C47"/>
  <c r="B26" i="7"/>
  <c r="B106" s="1"/>
  <c r="B123" s="1"/>
  <c r="C102" i="11" l="1"/>
  <c r="B39" i="15"/>
  <c r="C14" i="2" s="1"/>
  <c r="B26" i="10"/>
  <c r="B24"/>
  <c r="C87" l="1"/>
  <c r="C140" s="1"/>
  <c r="H32" i="29"/>
  <c r="H22"/>
  <c r="H23"/>
  <c r="H14"/>
  <c r="H137"/>
  <c r="H17"/>
  <c r="H158"/>
  <c r="H30"/>
  <c r="H16"/>
  <c r="H24"/>
  <c r="H178"/>
  <c r="H25"/>
  <c r="H15"/>
  <c r="H42"/>
  <c r="H31"/>
  <c r="H21"/>
  <c r="H38"/>
  <c r="H55"/>
  <c r="H27"/>
  <c r="H13"/>
  <c r="C198" l="1"/>
  <c r="H127"/>
  <c r="H48"/>
  <c r="C196"/>
  <c r="C174"/>
  <c r="H49"/>
  <c r="I129"/>
  <c r="C347" l="1"/>
  <c r="H347"/>
  <c r="D106" i="10"/>
  <c r="D95"/>
  <c r="J11" i="8" l="1"/>
  <c r="J13"/>
  <c r="J15"/>
  <c r="J24"/>
  <c r="D238" i="29" l="1"/>
  <c r="D163"/>
  <c r="I137"/>
  <c r="I111"/>
  <c r="D129"/>
  <c r="D82"/>
  <c r="D66"/>
  <c r="I49"/>
  <c r="I42"/>
  <c r="I39"/>
  <c r="I38"/>
  <c r="I32"/>
  <c r="I30"/>
  <c r="I28"/>
  <c r="I24"/>
  <c r="I23"/>
  <c r="D23"/>
  <c r="I22"/>
  <c r="I21"/>
  <c r="D20"/>
  <c r="I17"/>
  <c r="I16"/>
  <c r="I15"/>
  <c r="I14"/>
  <c r="I13"/>
  <c r="I11"/>
  <c r="I347" l="1"/>
  <c r="D347"/>
  <c r="D1"/>
  <c r="C61" i="12" l="1"/>
  <c r="E87" i="10"/>
  <c r="E131"/>
  <c r="D66" i="7"/>
  <c r="D56"/>
  <c r="D51"/>
  <c r="D50"/>
  <c r="D45"/>
  <c r="C115" i="11" l="1"/>
  <c r="G41" i="8"/>
  <c r="J33" i="19"/>
  <c r="K21"/>
  <c r="J21"/>
  <c r="E79" i="16"/>
  <c r="F79" s="1"/>
  <c r="B25" i="15"/>
  <c r="C13" i="2" s="1"/>
  <c r="B49" i="14"/>
  <c r="C12" i="2" s="1"/>
  <c r="C107" i="11"/>
  <c r="C28"/>
  <c r="C21" i="2"/>
  <c r="C9"/>
  <c r="B37" i="9"/>
  <c r="C16" i="2" l="1"/>
  <c r="C119" i="11"/>
  <c r="L21" i="19"/>
  <c r="M21" s="1"/>
  <c r="B61" i="15"/>
  <c r="C19" i="2" s="1"/>
  <c r="C41" i="8" l="1"/>
  <c r="C121" i="11" l="1"/>
  <c r="C129" s="1"/>
  <c r="C135" l="1"/>
  <c r="C136" s="1"/>
  <c r="C138" s="1"/>
  <c r="F16" i="2" l="1"/>
  <c r="C93" i="16"/>
  <c r="C20" i="2" l="1"/>
  <c r="C6" i="23"/>
  <c r="D52" i="8"/>
  <c r="E52"/>
  <c r="F52"/>
  <c r="G52"/>
  <c r="G54" s="1"/>
  <c r="C23" i="2" s="1"/>
  <c r="H52" i="8"/>
  <c r="B52"/>
  <c r="B41"/>
  <c r="D41"/>
  <c r="F41"/>
  <c r="H41"/>
  <c r="E10"/>
  <c r="J10" s="1"/>
  <c r="E14"/>
  <c r="E16"/>
  <c r="E18"/>
  <c r="E19"/>
  <c r="E20"/>
  <c r="E21"/>
  <c r="E22"/>
  <c r="E25"/>
  <c r="E26"/>
  <c r="E27"/>
  <c r="E28"/>
  <c r="E29"/>
  <c r="E30"/>
  <c r="E31"/>
  <c r="E32"/>
  <c r="E33"/>
  <c r="E34"/>
  <c r="E36"/>
  <c r="E37"/>
  <c r="E38"/>
  <c r="E115" i="11"/>
  <c r="E107"/>
  <c r="E102"/>
  <c r="E28"/>
  <c r="H120"/>
  <c r="C25" i="2" l="1"/>
  <c r="B69" i="8"/>
  <c r="B54"/>
  <c r="E119" i="11"/>
  <c r="E41" i="8"/>
  <c r="C77" i="12"/>
  <c r="C25" i="15"/>
  <c r="D7" i="2"/>
  <c r="D33"/>
  <c r="D32"/>
  <c r="C33"/>
  <c r="C32"/>
  <c r="D29"/>
  <c r="D28"/>
  <c r="C29"/>
  <c r="C28"/>
  <c r="D21"/>
  <c r="D23"/>
  <c r="C49" i="14"/>
  <c r="D15" i="27"/>
  <c r="D16"/>
  <c r="I15"/>
  <c r="G13"/>
  <c r="G10"/>
  <c r="G6"/>
  <c r="G3"/>
  <c r="G2"/>
  <c r="F25" i="2" l="1"/>
  <c r="C27"/>
  <c r="C31" s="1"/>
  <c r="G15" i="27"/>
  <c r="G16"/>
  <c r="J24" i="19"/>
  <c r="L24" s="1"/>
  <c r="J23"/>
  <c r="L23" s="1"/>
  <c r="J10"/>
  <c r="C61" i="15"/>
  <c r="D93" i="16"/>
  <c r="D2" i="28"/>
  <c r="H13" i="27"/>
  <c r="J13" s="1"/>
  <c r="D17" i="28"/>
  <c r="E17" s="1"/>
  <c r="F17" s="1"/>
  <c r="H10" i="27"/>
  <c r="J10" s="1"/>
  <c r="H3"/>
  <c r="J3" s="1"/>
  <c r="H2"/>
  <c r="H6"/>
  <c r="J6" s="1"/>
  <c r="D14" i="28"/>
  <c r="E14" s="1"/>
  <c r="F14" s="1"/>
  <c r="D10"/>
  <c r="E10" s="1"/>
  <c r="D6"/>
  <c r="E6" s="1"/>
  <c r="E2"/>
  <c r="J25" i="19"/>
  <c r="M23" l="1"/>
  <c r="B8" i="4"/>
  <c r="C13" s="1"/>
  <c r="G2" i="28"/>
  <c r="H2" s="1"/>
  <c r="F2"/>
  <c r="M24" i="19"/>
  <c r="H15" i="27"/>
  <c r="H16"/>
  <c r="G17" i="28"/>
  <c r="G14"/>
  <c r="F10"/>
  <c r="G10" s="1"/>
  <c r="F6"/>
  <c r="G6" s="1"/>
  <c r="J2" i="27"/>
  <c r="J15" s="1"/>
  <c r="C7" i="1" l="1"/>
  <c r="F7" s="1"/>
  <c r="I2" i="28"/>
  <c r="J2" s="1"/>
  <c r="H17"/>
  <c r="I17" s="1"/>
  <c r="H14"/>
  <c r="I14" s="1"/>
  <c r="H10"/>
  <c r="I10" s="1"/>
  <c r="H6"/>
  <c r="I6" s="1"/>
  <c r="J44" i="19"/>
  <c r="J19"/>
  <c r="J17"/>
  <c r="J12"/>
  <c r="J11"/>
  <c r="J9"/>
  <c r="K2" i="28" l="1"/>
  <c r="L2" s="1"/>
  <c r="M2" s="1"/>
  <c r="I47" i="19"/>
  <c r="J17" i="28"/>
  <c r="K17" s="1"/>
  <c r="J14"/>
  <c r="K14" s="1"/>
  <c r="J10"/>
  <c r="K10" s="1"/>
  <c r="J6"/>
  <c r="K6" s="1"/>
  <c r="N2" l="1"/>
  <c r="O2" s="1"/>
  <c r="K33" i="19"/>
  <c r="L33" s="1"/>
  <c r="L17" i="28"/>
  <c r="M17" s="1"/>
  <c r="L14"/>
  <c r="M14" s="1"/>
  <c r="L10"/>
  <c r="M10" s="1"/>
  <c r="L6"/>
  <c r="M6" s="1"/>
  <c r="C39" i="15"/>
  <c r="D14" i="2" s="1"/>
  <c r="I34" i="8" l="1"/>
  <c r="J34" s="1"/>
  <c r="M33" i="19"/>
  <c r="P2" i="28"/>
  <c r="Q2" s="1"/>
  <c r="N17"/>
  <c r="O17" s="1"/>
  <c r="N14"/>
  <c r="O14" s="1"/>
  <c r="N10"/>
  <c r="O10" s="1"/>
  <c r="N6"/>
  <c r="O6" s="1"/>
  <c r="F54" i="8"/>
  <c r="P17" i="28" l="1"/>
  <c r="Q17" s="1"/>
  <c r="P14"/>
  <c r="Q14" s="1"/>
  <c r="P10"/>
  <c r="Q10" s="1"/>
  <c r="P6"/>
  <c r="Q6" s="1"/>
  <c r="S17" l="1"/>
  <c r="R17"/>
  <c r="U17" l="1"/>
  <c r="T17"/>
  <c r="W17" l="1"/>
  <c r="V17"/>
  <c r="E12" i="13"/>
  <c r="E106" i="7"/>
  <c r="E140" i="10" l="1"/>
  <c r="E121" i="11" s="1"/>
  <c r="D22" i="1" s="1"/>
  <c r="C21"/>
  <c r="F21" s="1"/>
  <c r="C37" i="9"/>
  <c r="D21" i="1" s="1"/>
  <c r="C13"/>
  <c r="F13" s="1"/>
  <c r="X17" i="28"/>
  <c r="Y17" s="1"/>
  <c r="Z17" s="1"/>
  <c r="D13" i="2"/>
  <c r="C22" i="1" l="1"/>
  <c r="F22" s="1"/>
  <c r="AA17" i="28"/>
  <c r="B133" i="23" l="1"/>
  <c r="B129"/>
  <c r="F130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B103"/>
  <c r="B95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B139" l="1"/>
  <c r="E129"/>
  <c r="C95"/>
  <c r="C133"/>
  <c r="D129"/>
  <c r="B141"/>
  <c r="C136"/>
  <c r="C137" s="1"/>
  <c r="C103"/>
  <c r="C129"/>
  <c r="D6"/>
  <c r="D74"/>
  <c r="D133" s="1"/>
  <c r="F134" l="1"/>
  <c r="C139"/>
  <c r="C106"/>
  <c r="C107" s="1"/>
  <c r="F116"/>
  <c r="E131"/>
  <c r="F124"/>
  <c r="E142"/>
  <c r="D103"/>
  <c r="D139" s="1"/>
  <c r="D95"/>
  <c r="E127"/>
  <c r="F137"/>
  <c r="G132"/>
  <c r="B142" l="1"/>
  <c r="B143" s="1"/>
  <c r="C142"/>
  <c r="E143"/>
  <c r="C151"/>
  <c r="C153" s="1"/>
  <c r="J18" i="19" l="1"/>
  <c r="J26" s="1"/>
  <c r="D54" i="8" l="1"/>
  <c r="J43" i="19" l="1"/>
  <c r="L43" s="1"/>
  <c r="J42"/>
  <c r="J41"/>
  <c r="J40"/>
  <c r="J39"/>
  <c r="J32"/>
  <c r="J29"/>
  <c r="J28"/>
  <c r="J8"/>
  <c r="J45" l="1"/>
  <c r="J30"/>
  <c r="K25"/>
  <c r="L25" s="1"/>
  <c r="I30" i="8" s="1"/>
  <c r="J30" s="1"/>
  <c r="K40" i="19"/>
  <c r="L40" s="1"/>
  <c r="I32" i="8" s="1"/>
  <c r="J32" s="1"/>
  <c r="E47" i="19"/>
  <c r="D47"/>
  <c r="D51" s="1"/>
  <c r="M25" l="1"/>
  <c r="K28"/>
  <c r="C47"/>
  <c r="C51" s="1"/>
  <c r="K18"/>
  <c r="L18" s="1"/>
  <c r="I36" i="8" s="1"/>
  <c r="J36" s="1"/>
  <c r="L28" i="19" l="1"/>
  <c r="K39"/>
  <c r="L39" l="1"/>
  <c r="M18"/>
  <c r="I27" i="8" l="1"/>
  <c r="J27" s="1"/>
  <c r="H54"/>
  <c r="E54" l="1"/>
  <c r="C54"/>
  <c r="D69" s="1"/>
  <c r="B33" i="25"/>
  <c r="B14"/>
  <c r="B36" l="1"/>
  <c r="G15" i="24"/>
  <c r="F15"/>
  <c r="K19" i="19" l="1"/>
  <c r="L19" s="1"/>
  <c r="I37" i="8" s="1"/>
  <c r="J37" s="1"/>
  <c r="K12" i="19"/>
  <c r="L12" s="1"/>
  <c r="I21" i="8" s="1"/>
  <c r="J21" s="1"/>
  <c r="K11" i="19"/>
  <c r="L11" s="1"/>
  <c r="I20" i="8" s="1"/>
  <c r="J20" s="1"/>
  <c r="K10" i="19"/>
  <c r="L10" s="1"/>
  <c r="K9"/>
  <c r="K8" l="1"/>
  <c r="L8" s="1"/>
  <c r="M8" s="1"/>
  <c r="I22" i="8"/>
  <c r="J22" s="1"/>
  <c r="M10" i="19"/>
  <c r="D12" i="2"/>
  <c r="D20"/>
  <c r="D19"/>
  <c r="D8"/>
  <c r="I18" i="8" l="1"/>
  <c r="J18" s="1"/>
  <c r="D25" i="2"/>
  <c r="K29" i="19"/>
  <c r="K30" s="1"/>
  <c r="L29" l="1"/>
  <c r="L30" s="1"/>
  <c r="E123" i="7"/>
  <c r="D13" i="1" s="1"/>
  <c r="I28" i="8" l="1"/>
  <c r="J28" s="1"/>
  <c r="C10" i="24"/>
  <c r="H10" s="1"/>
  <c r="C11"/>
  <c r="G11" s="1"/>
  <c r="D10" l="1"/>
  <c r="G10"/>
  <c r="E10"/>
  <c r="J6" i="19" s="1"/>
  <c r="D11" i="24"/>
  <c r="F11"/>
  <c r="H11"/>
  <c r="F10"/>
  <c r="E11"/>
  <c r="K17" i="19"/>
  <c r="L17" s="1"/>
  <c r="I19" i="8" s="1"/>
  <c r="J19" s="1"/>
  <c r="K16" i="19"/>
  <c r="K7"/>
  <c r="K44"/>
  <c r="L44" s="1"/>
  <c r="I38" i="8" s="1"/>
  <c r="J38" s="1"/>
  <c r="K41" i="19"/>
  <c r="L41" l="1"/>
  <c r="K26"/>
  <c r="F17" i="24"/>
  <c r="I10"/>
  <c r="K10" s="1"/>
  <c r="K11" s="1"/>
  <c r="K12" s="1"/>
  <c r="F16"/>
  <c r="D15"/>
  <c r="J7" i="19"/>
  <c r="L7" s="1"/>
  <c r="G17" i="24"/>
  <c r="G16"/>
  <c r="D16"/>
  <c r="I11"/>
  <c r="L16" i="19"/>
  <c r="M28"/>
  <c r="M43"/>
  <c r="M39"/>
  <c r="M17"/>
  <c r="I25" i="8" l="1"/>
  <c r="J25" s="1"/>
  <c r="M16" i="19"/>
  <c r="L26"/>
  <c r="J13"/>
  <c r="F18" i="24"/>
  <c r="K42" i="19"/>
  <c r="M7"/>
  <c r="I16" i="8"/>
  <c r="J16" s="1"/>
  <c r="M35" i="19"/>
  <c r="F47"/>
  <c r="M11"/>
  <c r="G18" i="24"/>
  <c r="M12" i="19"/>
  <c r="K32"/>
  <c r="L9"/>
  <c r="L32" l="1"/>
  <c r="L42"/>
  <c r="L45" s="1"/>
  <c r="K45"/>
  <c r="I29" i="8"/>
  <c r="J29" s="1"/>
  <c r="M42" i="19"/>
  <c r="I33" i="8"/>
  <c r="J33" s="1"/>
  <c r="M9" i="19"/>
  <c r="I31" i="8"/>
  <c r="J31" s="1"/>
  <c r="M44" i="19"/>
  <c r="I46" i="8"/>
  <c r="I47"/>
  <c r="J47" s="1"/>
  <c r="I48"/>
  <c r="D9" i="2"/>
  <c r="Q10" i="22"/>
  <c r="G10" s="1"/>
  <c r="G33" s="1"/>
  <c r="E10"/>
  <c r="J10" s="1"/>
  <c r="E11"/>
  <c r="J11" s="1"/>
  <c r="E13"/>
  <c r="J13" s="1"/>
  <c r="E14"/>
  <c r="I14"/>
  <c r="I15"/>
  <c r="J15" s="1"/>
  <c r="E16"/>
  <c r="I16"/>
  <c r="E18"/>
  <c r="I18"/>
  <c r="E19"/>
  <c r="I19"/>
  <c r="E21"/>
  <c r="I21"/>
  <c r="E22"/>
  <c r="I22"/>
  <c r="E23"/>
  <c r="I23"/>
  <c r="E24"/>
  <c r="I24"/>
  <c r="E25"/>
  <c r="I25"/>
  <c r="E26"/>
  <c r="I26"/>
  <c r="E27"/>
  <c r="I27"/>
  <c r="E28"/>
  <c r="I28"/>
  <c r="E30"/>
  <c r="I30"/>
  <c r="E31"/>
  <c r="I31"/>
  <c r="E36"/>
  <c r="I36"/>
  <c r="E37"/>
  <c r="I37"/>
  <c r="E38"/>
  <c r="I38"/>
  <c r="E39"/>
  <c r="I39"/>
  <c r="F33"/>
  <c r="K33"/>
  <c r="H33"/>
  <c r="D33"/>
  <c r="C33"/>
  <c r="B33"/>
  <c r="M23"/>
  <c r="N23" s="1"/>
  <c r="O23"/>
  <c r="P23"/>
  <c r="M14"/>
  <c r="N14" s="1"/>
  <c r="Q14" s="1"/>
  <c r="R14" s="1"/>
  <c r="M16"/>
  <c r="N16" s="1"/>
  <c r="Q16" s="1"/>
  <c r="R16" s="1"/>
  <c r="M18"/>
  <c r="N18" s="1"/>
  <c r="O18"/>
  <c r="P18"/>
  <c r="M21"/>
  <c r="N21" s="1"/>
  <c r="O21"/>
  <c r="M22"/>
  <c r="N22" s="1"/>
  <c r="O22"/>
  <c r="P22"/>
  <c r="M24"/>
  <c r="N24" s="1"/>
  <c r="O24"/>
  <c r="P24"/>
  <c r="M25"/>
  <c r="N25" s="1"/>
  <c r="Q25" s="1"/>
  <c r="R25" s="1"/>
  <c r="M26"/>
  <c r="N26" s="1"/>
  <c r="O26"/>
  <c r="P26"/>
  <c r="M27"/>
  <c r="N27" s="1"/>
  <c r="Q27" s="1"/>
  <c r="R27" s="1"/>
  <c r="M28"/>
  <c r="N28" s="1"/>
  <c r="Q28" s="1"/>
  <c r="R28" s="1"/>
  <c r="M30"/>
  <c r="N30" s="1"/>
  <c r="O30"/>
  <c r="P30"/>
  <c r="Q31"/>
  <c r="R31" s="1"/>
  <c r="R32"/>
  <c r="R29"/>
  <c r="R20"/>
  <c r="R17"/>
  <c r="M10"/>
  <c r="M20"/>
  <c r="M35"/>
  <c r="M17"/>
  <c r="K40"/>
  <c r="G40"/>
  <c r="C40"/>
  <c r="I34"/>
  <c r="E34"/>
  <c r="K6" i="19"/>
  <c r="K13" s="1"/>
  <c r="I49" i="8"/>
  <c r="I52" l="1"/>
  <c r="J46"/>
  <c r="Q30" i="22"/>
  <c r="R30" s="1"/>
  <c r="Q22"/>
  <c r="R22" s="1"/>
  <c r="J48" i="8"/>
  <c r="K48" s="1"/>
  <c r="J38" i="22"/>
  <c r="J27"/>
  <c r="E40"/>
  <c r="M39"/>
  <c r="J22"/>
  <c r="J19"/>
  <c r="J49" i="8"/>
  <c r="C41" i="22"/>
  <c r="E41" s="1"/>
  <c r="J25"/>
  <c r="J23"/>
  <c r="J21"/>
  <c r="I33"/>
  <c r="J28"/>
  <c r="M15"/>
  <c r="Q21"/>
  <c r="R21" s="1"/>
  <c r="M36"/>
  <c r="J30"/>
  <c r="J18"/>
  <c r="J31"/>
  <c r="K41"/>
  <c r="M37"/>
  <c r="Q18"/>
  <c r="R18" s="1"/>
  <c r="E33"/>
  <c r="G41"/>
  <c r="D16" i="2"/>
  <c r="D27" s="1"/>
  <c r="J24" i="22"/>
  <c r="J39"/>
  <c r="M38"/>
  <c r="J26"/>
  <c r="J16"/>
  <c r="J14"/>
  <c r="J37"/>
  <c r="Q26"/>
  <c r="R26" s="1"/>
  <c r="Q24"/>
  <c r="R24" s="1"/>
  <c r="Q23"/>
  <c r="R23" s="1"/>
  <c r="J36"/>
  <c r="I40"/>
  <c r="G47" i="19"/>
  <c r="J36"/>
  <c r="J37" s="1"/>
  <c r="L6"/>
  <c r="L13" s="1"/>
  <c r="M29"/>
  <c r="M30" s="1"/>
  <c r="M19"/>
  <c r="M26" s="1"/>
  <c r="K47" i="8"/>
  <c r="M41" i="19"/>
  <c r="K46" i="8" l="1"/>
  <c r="K52" s="1"/>
  <c r="K54" s="1"/>
  <c r="D19" i="1" s="1"/>
  <c r="J52" i="8"/>
  <c r="D31" i="2"/>
  <c r="I14" i="8"/>
  <c r="J14" s="1"/>
  <c r="I41" i="22"/>
  <c r="J33"/>
  <c r="J47" i="19"/>
  <c r="J40" i="22"/>
  <c r="Q33"/>
  <c r="R33" s="1"/>
  <c r="M6" i="19"/>
  <c r="M13" s="1"/>
  <c r="K36"/>
  <c r="H47"/>
  <c r="G49" s="1"/>
  <c r="G52" s="1"/>
  <c r="M32"/>
  <c r="K37" l="1"/>
  <c r="K47" s="1"/>
  <c r="J49" s="1"/>
  <c r="J41" i="22"/>
  <c r="L36" i="19"/>
  <c r="L37" s="1"/>
  <c r="L47" s="1"/>
  <c r="L52" s="1"/>
  <c r="M36" l="1"/>
  <c r="M37" s="1"/>
  <c r="D26" i="1"/>
  <c r="I26" i="8" l="1"/>
  <c r="J26" l="1"/>
  <c r="J41" s="1"/>
  <c r="J54" s="1"/>
  <c r="I41"/>
  <c r="I54" s="1"/>
  <c r="M40" i="19"/>
  <c r="M47" l="1"/>
  <c r="M45"/>
  <c r="C19" i="1"/>
  <c r="F19" s="1"/>
  <c r="C15"/>
  <c r="D7" l="1"/>
  <c r="D15" s="1"/>
  <c r="F26" s="1"/>
  <c r="C26"/>
  <c r="E26" s="1"/>
</calcChain>
</file>

<file path=xl/comments1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Amortization
</t>
        </r>
      </text>
    </comment>
    <comment ref="A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Amortization
</t>
        </r>
      </text>
    </comment>
    <comment ref="A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Different Sheets for Depreciation Head Wise
</t>
        </r>
      </text>
    </comment>
  </commentList>
</comments>
</file>

<file path=xl/sharedStrings.xml><?xml version="1.0" encoding="utf-8"?>
<sst xmlns="http://schemas.openxmlformats.org/spreadsheetml/2006/main" count="3350" uniqueCount="1465">
  <si>
    <t xml:space="preserve">               </t>
  </si>
  <si>
    <t>Payment of Security Deposit /Liabilities :</t>
  </si>
  <si>
    <t xml:space="preserve">                     ii) Me.S.E.B.</t>
  </si>
  <si>
    <t>c) Bank Balances :</t>
  </si>
  <si>
    <t xml:space="preserve">    iii) Pension</t>
  </si>
  <si>
    <t xml:space="preserve">    iv) Security Charges</t>
  </si>
  <si>
    <t xml:space="preserve">     1. Capital Reserve:</t>
  </si>
  <si>
    <t xml:space="preserve">    4. General Reserve:</t>
  </si>
  <si>
    <t xml:space="preserve">    3. Special Reserve:</t>
  </si>
  <si>
    <t xml:space="preserve">    2. Revaluation Reserve:</t>
  </si>
  <si>
    <t>Fees/Subscriptions</t>
  </si>
  <si>
    <t>Income from Royalty, Publication etc.</t>
  </si>
  <si>
    <t>Interest Earned</t>
  </si>
  <si>
    <t>Other Income</t>
  </si>
  <si>
    <t>Increase/(decrease) in stock of finished goods and works-in-progress</t>
  </si>
  <si>
    <t>TOTAL (A)</t>
  </si>
  <si>
    <t>EXPENDITURE</t>
  </si>
  <si>
    <t>Establishment Expenses</t>
  </si>
  <si>
    <t>Other Administrative Expenses</t>
  </si>
  <si>
    <t>Expenditure on Grants, Subsidies etc.</t>
  </si>
  <si>
    <t>Interest</t>
  </si>
  <si>
    <t>Depreciation (Net Total at the year end - corresponding to Schedule 8)</t>
  </si>
  <si>
    <t>TOTAL (B)</t>
  </si>
  <si>
    <t>Transfer to Special Reserve (Specify each)</t>
  </si>
  <si>
    <t>Balance as at the beginning of the year</t>
  </si>
  <si>
    <t>SCHEDULE 2 - RESERVES AND SURPLUS :</t>
  </si>
  <si>
    <t xml:space="preserve">                   Less : Decuctions during the year</t>
  </si>
  <si>
    <t xml:space="preserve">       e) Additional Work in Hospital &amp; Main Building</t>
  </si>
  <si>
    <t>TOTAL OF CURRENT YEAR (A)</t>
  </si>
  <si>
    <t>PREVIOUS YEAR</t>
  </si>
  <si>
    <t>B. CAPITAL WORK -IN-PROGRESS</t>
  </si>
  <si>
    <t xml:space="preserve">              a) Security Accomodation</t>
  </si>
  <si>
    <t xml:space="preserve">              b) Construction of C &amp; D Quarters</t>
  </si>
  <si>
    <t xml:space="preserve">              c) Permanent Campus</t>
  </si>
  <si>
    <t xml:space="preserve">              d) Nursing College</t>
  </si>
  <si>
    <t>GRAND TOTAL (A + B)</t>
  </si>
  <si>
    <t xml:space="preserve">                   Addition during the year</t>
  </si>
  <si>
    <t xml:space="preserve">                   As per last Account</t>
  </si>
  <si>
    <t>SCHEDULE 3 - EARMARKED/ENDOWMENT FUNDS</t>
  </si>
  <si>
    <t xml:space="preserve">   a) Opening balance of the funds</t>
  </si>
  <si>
    <t xml:space="preserve">   b) Additions to the Funds :</t>
  </si>
  <si>
    <t xml:space="preserve">        i. Donations/grants</t>
  </si>
  <si>
    <t>TOTAL (a+b)</t>
  </si>
  <si>
    <t xml:space="preserve">   c) Utilisation/Expenditure towards objectives of funds</t>
  </si>
  <si>
    <t xml:space="preserve">       i   Capital Expenditure</t>
  </si>
  <si>
    <t xml:space="preserve">                 - Fixed Assets</t>
  </si>
  <si>
    <t xml:space="preserve">                 - Others</t>
  </si>
  <si>
    <t xml:space="preserve">                 Total</t>
  </si>
  <si>
    <t xml:space="preserve">       ii   Revenue Expenditure</t>
  </si>
  <si>
    <t xml:space="preserve">                 -   Salaries, Wages and allowances etc.</t>
  </si>
  <si>
    <t xml:space="preserve">                   Total</t>
  </si>
  <si>
    <t>g) Janani Suraksha Yojana</t>
  </si>
  <si>
    <t>h) National Aids Control</t>
  </si>
  <si>
    <t>a) Nursing College :</t>
  </si>
  <si>
    <t xml:space="preserve">                 -   Rent</t>
  </si>
  <si>
    <t xml:space="preserve">                 -   Other Administrative expenses</t>
  </si>
  <si>
    <t xml:space="preserve">    NET BALANCE AS AT THE YEAR END (a + b - c)</t>
  </si>
  <si>
    <t xml:space="preserve">       g) C &amp; D Quarters</t>
  </si>
  <si>
    <t xml:space="preserve">       h) Construction of Security Accomodation</t>
  </si>
  <si>
    <t>c) Repairs &amp; Maintenance:</t>
  </si>
  <si>
    <t>d) Purchase of Fixed Assets :</t>
  </si>
  <si>
    <t>e) Payment of Advances :</t>
  </si>
  <si>
    <t>f)  Payment of Recovery from Staffs :</t>
  </si>
  <si>
    <t xml:space="preserve">     a) HSCC</t>
  </si>
  <si>
    <t xml:space="preserve">     b) Manning of Sub-Station at Permanent Campus</t>
  </si>
  <si>
    <t xml:space="preserve">     c) Civil Works</t>
  </si>
  <si>
    <t xml:space="preserve">         iii) Consultancy Fee</t>
  </si>
  <si>
    <t>a) Guest House :</t>
  </si>
  <si>
    <t>b) Nursing College :</t>
  </si>
  <si>
    <t>c) MBBS :</t>
  </si>
  <si>
    <t>b) Hospital Charges:</t>
  </si>
  <si>
    <t>c) MBBS / PG :</t>
  </si>
  <si>
    <t xml:space="preserve">     2) Plans Funds received from the Central/State Governments</t>
  </si>
  <si>
    <t xml:space="preserve">        are to be shown as separate Funds and not to be mixed up</t>
  </si>
  <si>
    <t xml:space="preserve">        with any other Funds.</t>
  </si>
  <si>
    <t>SCHEDULE 4 - SECURED LOANS AND BORROWINGS :</t>
  </si>
  <si>
    <t xml:space="preserve">          1. Central Government</t>
  </si>
  <si>
    <t xml:space="preserve">          2. State Government (Specify)</t>
  </si>
  <si>
    <t xml:space="preserve">          3. Financial Institutions</t>
  </si>
  <si>
    <t xml:space="preserve">              a)   Term loans</t>
  </si>
  <si>
    <t xml:space="preserve">              b)   Interest accrued and due</t>
  </si>
  <si>
    <t xml:space="preserve">          4. Banks :</t>
  </si>
  <si>
    <t xml:space="preserve">                      a)    Term Loans</t>
  </si>
  <si>
    <t xml:space="preserve">                             -  Interest accrued and due</t>
  </si>
  <si>
    <t xml:space="preserve">       ii)  Miscellaneous</t>
  </si>
  <si>
    <t>NORTH EASTERN INDIRA GANDHI REGIONAL INSTITUTE OF HEALTH AND MEDICAL SCIENCES: SHILLONG.</t>
  </si>
  <si>
    <t xml:space="preserve">       a) Freehold (land and Boundary Wall at Mawdiangdiang)</t>
  </si>
  <si>
    <t xml:space="preserve">       b) Leasehold</t>
  </si>
  <si>
    <t xml:space="preserve">       a)  On Free hold Land </t>
  </si>
  <si>
    <t xml:space="preserve">       b)  On Leasehold Land (IHF main Bldg)</t>
  </si>
  <si>
    <t xml:space="preserve">       c)  Ownership Flats/Premises  </t>
  </si>
  <si>
    <t xml:space="preserve">       d)  Superstructures on Land not belonging to the</t>
  </si>
  <si>
    <t xml:space="preserve">            entity (Dr. Qtr.)</t>
  </si>
  <si>
    <t>3.    PLANT MACHINERY &amp; EQUIPMENT</t>
  </si>
  <si>
    <t>SCHEDULE 11 - CURRENT ASSETS, LOANS, ADVANCES ETC. (Contd)</t>
  </si>
  <si>
    <t xml:space="preserve">                              -  Interest accrued and due</t>
  </si>
  <si>
    <t xml:space="preserve">          5. Other Institutions and Agencies</t>
  </si>
  <si>
    <t>Note : Amounts due within one year</t>
  </si>
  <si>
    <t>SCHEDULE 5 - UNSECURED LOANS AND BORROWINGS</t>
  </si>
  <si>
    <t xml:space="preserve">      1.  Central Government</t>
  </si>
  <si>
    <t xml:space="preserve">      3.  Financial institutions</t>
  </si>
  <si>
    <t xml:space="preserve">      4.  Banks</t>
  </si>
  <si>
    <t xml:space="preserve">                    a)  Term Loans</t>
  </si>
  <si>
    <t xml:space="preserve">                    b)  Other loans (specify)</t>
  </si>
  <si>
    <t xml:space="preserve">      5.  Other Institutions and Agencies</t>
  </si>
  <si>
    <t xml:space="preserve"> </t>
  </si>
  <si>
    <t xml:space="preserve">      6.  Debentures and Bonds</t>
  </si>
  <si>
    <t xml:space="preserve">      7.  Fixed Deposits</t>
  </si>
  <si>
    <t xml:space="preserve">      8.  Others  (Specify)</t>
  </si>
  <si>
    <t>SCHEDULE 6 - DEFERRED CREDIT LIABILITIES :</t>
  </si>
  <si>
    <t xml:space="preserve">           b)  Others</t>
  </si>
  <si>
    <t>NOTE : Amounts due within one year</t>
  </si>
  <si>
    <t>Fund WW</t>
  </si>
  <si>
    <t>Fund XX</t>
  </si>
  <si>
    <t>Fund YY</t>
  </si>
  <si>
    <t>Fund ZZ</t>
  </si>
  <si>
    <t>FUND WISE BREAK UP</t>
  </si>
  <si>
    <t>SCHEDULE 7 - CURRENT LIABILITIES AND PROVISIONS</t>
  </si>
  <si>
    <t>TOTAL  (B)</t>
  </si>
  <si>
    <t>TOTAL (A+B)</t>
  </si>
  <si>
    <t>SCHEDULE 8 - FIXED ASSETS</t>
  </si>
  <si>
    <t>DESCRIPTIONS</t>
  </si>
  <si>
    <t>As at the beginning of the year</t>
  </si>
  <si>
    <t>GROSS BLOCK</t>
  </si>
  <si>
    <t>DEPRECIATION</t>
  </si>
  <si>
    <t>NET BLOCK</t>
  </si>
  <si>
    <t>A. FIXED ASSETS :</t>
  </si>
  <si>
    <t>1.    LAND</t>
  </si>
  <si>
    <t>2.    BUILDINGS</t>
  </si>
  <si>
    <t>4.   VEHICLES</t>
  </si>
  <si>
    <t>6.    OFFICE EQUIPMENT</t>
  </si>
  <si>
    <t>7.    COMPUTER/PERIPHERALS</t>
  </si>
  <si>
    <t>8.     ELECTRIC INSTALLATIONS</t>
  </si>
  <si>
    <t>10.   TUBEWELLS &amp; WATER SUPPLY</t>
  </si>
  <si>
    <t>SCHEDULE 9 -INVESTMENTS FROM EARMARKED/ENDOWMENT FUNDS</t>
  </si>
  <si>
    <t xml:space="preserve">                   1.  In Government Securities</t>
  </si>
  <si>
    <t xml:space="preserve">                   2.  Other approved Securities</t>
  </si>
  <si>
    <t xml:space="preserve">                   3.  Shares</t>
  </si>
  <si>
    <t xml:space="preserve">                   4.  Debentures and Bonds</t>
  </si>
  <si>
    <t xml:space="preserve">                   5.  Subsidiaries and Joint Ventures</t>
  </si>
  <si>
    <t xml:space="preserve">                   6.  Others (to be specified)</t>
  </si>
  <si>
    <t xml:space="preserve">                 TOTAL</t>
  </si>
  <si>
    <t>SCHEDULE 10 - INVESTMENTS - OTHERS</t>
  </si>
  <si>
    <t>SCHEDULE 11 - CURRENT ASSETS, LOANS, ADVANCES ETC.</t>
  </si>
  <si>
    <t>A. CURRENT ASSETS :</t>
  </si>
  <si>
    <t>SCHEDULES 11 - CURRENT ASSETS, LOANS, ADVANCES ETC. (Contd.)</t>
  </si>
  <si>
    <t>B. LOANS, ADVANCES AND OTHERS ASSETS</t>
  </si>
  <si>
    <t xml:space="preserve">                                     (includes income due unrealised-Rs………………….)</t>
  </si>
  <si>
    <t>TOTAL ( A + B)</t>
  </si>
  <si>
    <t>SCHEDULE 12 - INCOME FROM SALES/SERVICES</t>
  </si>
  <si>
    <t xml:space="preserve">                                a) Sale of Finished Goods</t>
  </si>
  <si>
    <t xml:space="preserve">                                b) Sale of Raw Material</t>
  </si>
  <si>
    <t xml:space="preserve">                                c) Sale of Scraps</t>
  </si>
  <si>
    <t xml:space="preserve">                                a)  Labour and Processing Charges</t>
  </si>
  <si>
    <t xml:space="preserve">                                b)  Professional/Consultancy Services</t>
  </si>
  <si>
    <t>g) Payment of Outstanding Liabilities :</t>
  </si>
  <si>
    <t xml:space="preserve">                        d) Bank of Baroda- Police Bazar (FD Nursing College)</t>
  </si>
  <si>
    <t xml:space="preserve">                                e)  Others (Specify)</t>
  </si>
  <si>
    <t xml:space="preserve">                            d) Guest House</t>
  </si>
  <si>
    <t xml:space="preserve">                            e) Pharmacy</t>
  </si>
  <si>
    <t xml:space="preserve">                            f) Hospital Charges</t>
  </si>
  <si>
    <t xml:space="preserve">                            h) GFATM</t>
  </si>
  <si>
    <t xml:space="preserve">                            g) Library</t>
  </si>
  <si>
    <t>k) GFATM Project</t>
  </si>
  <si>
    <t>l) Evaluation cum Impact Study-NEC</t>
  </si>
  <si>
    <t>m) PMR Medical College</t>
  </si>
  <si>
    <t>o) DGHS</t>
  </si>
  <si>
    <t>a) On Term Loans</t>
  </si>
  <si>
    <t>b) On Bank Deposits</t>
  </si>
  <si>
    <t xml:space="preserve">     Guest House</t>
  </si>
  <si>
    <t xml:space="preserve">     Pharmacy</t>
  </si>
  <si>
    <t xml:space="preserve">     Hospital Charges</t>
  </si>
  <si>
    <t xml:space="preserve">     Library</t>
  </si>
  <si>
    <t xml:space="preserve">     GFATM</t>
  </si>
  <si>
    <t xml:space="preserve">                                d)  Maintenance Services (Equipment/Property)</t>
  </si>
  <si>
    <t xml:space="preserve">                                c)  Agency Commission and Brokerage</t>
  </si>
  <si>
    <t>(Irrevocable Grants &amp; Subsidies received)</t>
  </si>
  <si>
    <t>SCHEDULE 14 - FEES/SUBSCRIPTIONS</t>
  </si>
  <si>
    <t xml:space="preserve">             2)  Annual Fees/Subscriptions</t>
  </si>
  <si>
    <t xml:space="preserve">             4)  Consultancy Fees</t>
  </si>
  <si>
    <t xml:space="preserve">       Note : Accounting Policies towards each item are to be disclosed</t>
  </si>
  <si>
    <t>(Income on Invest from Earmarked/Endowment Funds transferred to Funds)</t>
  </si>
  <si>
    <t xml:space="preserve">             1)  Interest</t>
  </si>
  <si>
    <t xml:space="preserve">                            a)  On Govt. Securities</t>
  </si>
  <si>
    <t xml:space="preserve">                            b)  Other Bonds/Debentures</t>
  </si>
  <si>
    <t xml:space="preserve">             2)  Dividends</t>
  </si>
  <si>
    <t xml:space="preserve">                            a)  On Shares</t>
  </si>
  <si>
    <t xml:space="preserve">                            b)  On Mutual Fund Securities</t>
  </si>
  <si>
    <t xml:space="preserve">             3)  Rents</t>
  </si>
  <si>
    <t xml:space="preserve">             4)  Others (Specify)</t>
  </si>
  <si>
    <t>Investment From Earmarked Fund</t>
  </si>
  <si>
    <t>Investment - Others</t>
  </si>
  <si>
    <t>Net</t>
  </si>
  <si>
    <t>Dep</t>
  </si>
  <si>
    <t xml:space="preserve">              b) Fixed Assets (GFATM Project)</t>
  </si>
  <si>
    <t>total</t>
  </si>
  <si>
    <t>TRANSFERRED TO EARMARKED/ENDOWMENT FUNDS</t>
  </si>
  <si>
    <t>SCHEDULE 16 - INCOME FROM ROYALTY, PUBLICATION ETC.</t>
  </si>
  <si>
    <t xml:space="preserve">             1)  Income from Royalty</t>
  </si>
  <si>
    <t xml:space="preserve">             2)  Income from Publications</t>
  </si>
  <si>
    <t xml:space="preserve">             3)  Others (Specify)</t>
  </si>
  <si>
    <t>SCHEDULE 17 - INTEREST EARNED</t>
  </si>
  <si>
    <t xml:space="preserve">             1)  On Term Deposits :</t>
  </si>
  <si>
    <t xml:space="preserve">                            a)  With Scheduled Banks</t>
  </si>
  <si>
    <t xml:space="preserve">                            b)  With Non-Scheduled Banks</t>
  </si>
  <si>
    <t xml:space="preserve">                            c)  With Institutions</t>
  </si>
  <si>
    <t xml:space="preserve">                            d)  Others</t>
  </si>
  <si>
    <t xml:space="preserve">              2)  On Savings Accounts</t>
  </si>
  <si>
    <t xml:space="preserve">                            c) Post Office Savings Accounts</t>
  </si>
  <si>
    <t xml:space="preserve">               3)  On Loans :</t>
  </si>
  <si>
    <t xml:space="preserve">               4)  Interest on Debtors and Other Receivables</t>
  </si>
  <si>
    <t>Note - Tax deducted at source to be indicated</t>
  </si>
  <si>
    <t>SCHEDULE - 18 - OTHER INCOME</t>
  </si>
  <si>
    <t xml:space="preserve">                           - Work-in-progress</t>
  </si>
  <si>
    <t xml:space="preserve">           b) Less Opening Stock</t>
  </si>
  <si>
    <t>SCHEDULE 20 - ESTABLISHMENT EXPENSES</t>
  </si>
  <si>
    <t xml:space="preserve">          c)  Contribution to Provident Fund</t>
  </si>
  <si>
    <t xml:space="preserve">          d)  Contribution to Other Fund (specify)</t>
  </si>
  <si>
    <t xml:space="preserve">          e)  Staff Welfare Expenses</t>
  </si>
  <si>
    <t>SCHEDULE 21 - OTHER ADMINISTRATIVE EXPENSES</t>
  </si>
  <si>
    <t>SCHEDULE 22 - EXPENDITURE ON GRANTS, SUBSIDIES ETC.</t>
  </si>
  <si>
    <t xml:space="preserve">         a)  Grants given to Institutions/Organisations</t>
  </si>
  <si>
    <t xml:space="preserve">         b)  Subsidies given to Institutions/Organisations</t>
  </si>
  <si>
    <t xml:space="preserve">        Note - Name of the Entities, their Activities along with the amount of grants/Subsidies are to be disclosed</t>
  </si>
  <si>
    <t>SCHEDULE 23 - INTEREST</t>
  </si>
  <si>
    <t xml:space="preserve">           a)  On Fixed loans</t>
  </si>
  <si>
    <t xml:space="preserve">           b)  On Other Loans (including Bank Charges)</t>
  </si>
  <si>
    <t xml:space="preserve">           c)  Others (specify)</t>
  </si>
  <si>
    <t>RECEIPTS</t>
  </si>
  <si>
    <t>PAYMENTS</t>
  </si>
  <si>
    <t xml:space="preserve">                            c)  Interest on Computer</t>
  </si>
  <si>
    <t>5.    FURNITURE FIXTURES</t>
  </si>
  <si>
    <t>BALANCE AS AT THE YEAR - END</t>
  </si>
  <si>
    <t>-</t>
  </si>
  <si>
    <t xml:space="preserve">  </t>
  </si>
  <si>
    <t xml:space="preserve">                      b)    Other Loans (specify)</t>
  </si>
  <si>
    <t xml:space="preserve">      2.  State Government (Specify)</t>
  </si>
  <si>
    <t xml:space="preserve">                   6.  Others :  Fixed Deposit with </t>
  </si>
  <si>
    <t xml:space="preserve">                        c) Allahabad Bank</t>
  </si>
  <si>
    <t xml:space="preserve">                        b) Indian Bank</t>
  </si>
  <si>
    <t>9.     LIBRARY BOOKS (Books &amp; Journals)</t>
  </si>
  <si>
    <t xml:space="preserve">              i) Security Charges</t>
  </si>
  <si>
    <t>UNSECURED LOANS AND BORROWINGS</t>
  </si>
  <si>
    <t>a) Cash in Hand :</t>
  </si>
  <si>
    <t xml:space="preserve">                   Less : Deductions during the year</t>
  </si>
  <si>
    <t>Cost/valuation       As at beginning of the year</t>
  </si>
  <si>
    <t>SCHEDULE 15 - INCOME FROM INVESTMENTS</t>
  </si>
  <si>
    <t xml:space="preserve">             5)  Others : Licence Fees</t>
  </si>
  <si>
    <t>SCHEDULE 21 - OTHER ADMINISTRATIVE EXPENSES (Contd…)</t>
  </si>
  <si>
    <t>SCHEDULE 7 - CURRENT LIABILITIES AND PROVISIONS (Contd….)</t>
  </si>
  <si>
    <t>RESERVE AND SURPLUS</t>
  </si>
  <si>
    <t>Income from Investments (Income on Invest from earmarked/endow Funds transferred to Funds)</t>
  </si>
  <si>
    <r>
      <t xml:space="preserve">  </t>
    </r>
    <r>
      <rPr>
        <b/>
        <sz val="12"/>
        <rFont val="Arial Narrow"/>
        <family val="2"/>
      </rPr>
      <t>NORTH EASTERN INDIRA GANDHI REGIONAL INSTITUTE OF HEALTH AND MEDICAL SCIENCES: SHILLONG</t>
    </r>
    <r>
      <rPr>
        <sz val="12"/>
        <rFont val="Arial Narrow"/>
        <family val="2"/>
      </rPr>
      <t>.</t>
    </r>
  </si>
  <si>
    <r>
      <t xml:space="preserve"> </t>
    </r>
    <r>
      <rPr>
        <b/>
        <sz val="12"/>
        <rFont val="Arial Narrow"/>
        <family val="2"/>
      </rPr>
      <t>NORTH EASTERN INDIRA GANDHI REGIONAL INSTITUTE OF HEALTH AND MEDICAL SCIENCES: SHILLONG</t>
    </r>
    <r>
      <rPr>
        <sz val="12"/>
        <rFont val="Arial Narrow"/>
        <family val="2"/>
      </rPr>
      <t>.</t>
    </r>
  </si>
  <si>
    <r>
      <t xml:space="preserve"> </t>
    </r>
    <r>
      <rPr>
        <b/>
        <sz val="12"/>
        <rFont val="Arial Narrow"/>
        <family val="2"/>
      </rPr>
      <t>NORTH EASTERN INDIRA GANDHI REGIONAL INSTITUTE OF HEALTH AND MEDICAL SCIENCES : SHILLONG</t>
    </r>
    <r>
      <rPr>
        <sz val="12"/>
        <rFont val="Arial Narrow"/>
        <family val="2"/>
      </rPr>
      <t>.</t>
    </r>
  </si>
  <si>
    <t>Amount - Rs.</t>
  </si>
  <si>
    <t xml:space="preserve">TOTAL </t>
  </si>
  <si>
    <t>iv)Tubewell &amp; Water Supply</t>
  </si>
  <si>
    <t>i) On Leasehold Land (IHF main Bldg)</t>
  </si>
  <si>
    <t xml:space="preserve">                        a) UBI </t>
  </si>
  <si>
    <t>(h) Furniture &amp; Fixtures :</t>
  </si>
  <si>
    <t xml:space="preserve">   ii) at MBBS Project</t>
  </si>
  <si>
    <t xml:space="preserve">             3)  Seminar/Program Fees</t>
  </si>
  <si>
    <t xml:space="preserve">        </t>
  </si>
  <si>
    <t>(f) Computer/Peripherals :</t>
  </si>
  <si>
    <t xml:space="preserve">       ii) at Atlas Project</t>
  </si>
  <si>
    <t xml:space="preserve">   i) at Neigrihms</t>
  </si>
  <si>
    <t>CAPITAL FUND AND LIABILITIES</t>
  </si>
  <si>
    <t>CAPITAL FUND</t>
  </si>
  <si>
    <t>SCHEDULE 1- CAPITAL FUND</t>
  </si>
  <si>
    <t xml:space="preserve">          b)  Honorarium</t>
  </si>
  <si>
    <t xml:space="preserve">          a)  Salaries and Wages </t>
  </si>
  <si>
    <t>BALANCE BEING SURPLUS CARRIED TO  CAPITAL FUND</t>
  </si>
  <si>
    <t>SCHEDULE 13 - GRANTS</t>
  </si>
  <si>
    <t>Grants</t>
  </si>
  <si>
    <t xml:space="preserve">                            -Consumables &amp;Medicines</t>
  </si>
  <si>
    <t xml:space="preserve">              iii) New Pension Scheme -Govt.</t>
  </si>
  <si>
    <t>Total (Rs)</t>
  </si>
  <si>
    <t>(a) Building:</t>
  </si>
  <si>
    <t>(b) Capital Work in Progress</t>
  </si>
  <si>
    <t>(c)Land</t>
  </si>
  <si>
    <t>i. Medical Equipment</t>
  </si>
  <si>
    <t xml:space="preserve">       (e) Books &amp; Journals</t>
  </si>
  <si>
    <t>(g) Electrical Installation</t>
  </si>
  <si>
    <t>(j) Sports Equipments</t>
  </si>
  <si>
    <t>Head of Account</t>
  </si>
  <si>
    <t>Amount Depreciated</t>
  </si>
  <si>
    <t>Rate of Depreciation</t>
  </si>
  <si>
    <t>Total:</t>
  </si>
  <si>
    <t>100% of Column B</t>
  </si>
  <si>
    <t>50% of Column B</t>
  </si>
  <si>
    <t>Net Block</t>
  </si>
  <si>
    <t xml:space="preserve">       ii) Superstructures on Land</t>
  </si>
  <si>
    <t>iii) Minor Civil Works</t>
  </si>
  <si>
    <t>b) Recovery from Staffs:</t>
  </si>
  <si>
    <t>Opening Balance (Rs)</t>
  </si>
  <si>
    <t xml:space="preserve">                        e) Bank of Baroda- Mawdiangdiang</t>
  </si>
  <si>
    <t xml:space="preserve">                        f) Punjab National Bank</t>
  </si>
  <si>
    <t xml:space="preserve">             1) Entrance/Centre Fees (Sale of Forms) </t>
  </si>
  <si>
    <t xml:space="preserve">                a) Imprest :</t>
  </si>
  <si>
    <t xml:space="preserve">     iv) Library</t>
  </si>
  <si>
    <t>a)  Purchases</t>
  </si>
  <si>
    <t>b)  Labour and Processing Expenses</t>
  </si>
  <si>
    <t>c)  Cartage and Carriage Inwards</t>
  </si>
  <si>
    <t>d)  Electricity and Power</t>
  </si>
  <si>
    <t xml:space="preserve">                       v)   House Building Allowance</t>
  </si>
  <si>
    <t xml:space="preserve">                     a)  Owned assets</t>
  </si>
  <si>
    <t xml:space="preserve">                     b)  asstes acquired out of grants, or received free of cost</t>
  </si>
  <si>
    <t xml:space="preserve">    1)  Profit on sale/disposal of assets :</t>
  </si>
  <si>
    <t xml:space="preserve">    2)  Export Incentives realized</t>
  </si>
  <si>
    <t xml:space="preserve">    3)  Fees for Miscellaneous Services </t>
  </si>
  <si>
    <t xml:space="preserve">       1. Loans:</t>
  </si>
  <si>
    <t xml:space="preserve">       2.  Advances and other amounts recoverable in cash or in kind or for</t>
  </si>
  <si>
    <t xml:space="preserve">                a)  Staff</t>
  </si>
  <si>
    <t xml:space="preserve">                b)  Other Entities engaged in activities/objectives similar to that</t>
  </si>
  <si>
    <t xml:space="preserve">                     of the Entity</t>
  </si>
  <si>
    <t xml:space="preserve">                c)  Other (specify)</t>
  </si>
  <si>
    <t xml:space="preserve">                a)  On Capital Account</t>
  </si>
  <si>
    <t xml:space="preserve">                     i)  HSCCIL for :</t>
  </si>
  <si>
    <t xml:space="preserve">                            Civil Works :</t>
  </si>
  <si>
    <t xml:space="preserve">                                  Interim hospital Facility</t>
  </si>
  <si>
    <t xml:space="preserve">                                  Permanent Campus</t>
  </si>
  <si>
    <r>
      <t xml:space="preserve">  </t>
    </r>
    <r>
      <rPr>
        <b/>
        <sz val="11"/>
        <rFont val="Arial Narrow"/>
        <family val="2"/>
      </rPr>
      <t>NORTH EASTERN INDIRA GANDHI REGIONAL INSTITUTE OF HEALTH AND MEDICAL SCIENCES: SHILLONG</t>
    </r>
    <r>
      <rPr>
        <sz val="11"/>
        <rFont val="Arial Narrow"/>
        <family val="2"/>
      </rPr>
      <t>.</t>
    </r>
  </si>
  <si>
    <t xml:space="preserve">                     iii) Consultancy</t>
  </si>
  <si>
    <t xml:space="preserve">                     iv) Civil Works at IHF (Repair &amp; Maintenance)</t>
  </si>
  <si>
    <t xml:space="preserve">                     vi)  DAVP</t>
  </si>
  <si>
    <t xml:space="preserve">                 b)  Prepayments</t>
  </si>
  <si>
    <t>Expenses :</t>
  </si>
  <si>
    <t>Advances :</t>
  </si>
  <si>
    <t xml:space="preserve">                 c)  Others:</t>
  </si>
  <si>
    <t xml:space="preserve">                      i) Travelling</t>
  </si>
  <si>
    <t xml:space="preserve">                      ii) Festival</t>
  </si>
  <si>
    <t xml:space="preserve">                      iii) Committee/Meetings</t>
  </si>
  <si>
    <t xml:space="preserve">                       iv)  Medical</t>
  </si>
  <si>
    <t xml:space="preserve">       f) Civil Worlks (HSCC)</t>
  </si>
  <si>
    <t xml:space="preserve">        1. Inventories</t>
  </si>
  <si>
    <t xml:space="preserve">        2. Sundry Debtors</t>
  </si>
  <si>
    <t xml:space="preserve">                a) Consumables &amp; Medicines</t>
  </si>
  <si>
    <t xml:space="preserve">                b) Loose Tools</t>
  </si>
  <si>
    <t xml:space="preserve">                c) Stock-in-trade:</t>
  </si>
  <si>
    <t xml:space="preserve">                            Finished Goods</t>
  </si>
  <si>
    <t xml:space="preserve">                            Work-in-progress</t>
  </si>
  <si>
    <t xml:space="preserve">                            Raw Materials</t>
  </si>
  <si>
    <t xml:space="preserve">                a) Debts outstanding for a period exceeding six months</t>
  </si>
  <si>
    <t xml:space="preserve">                b) Others     </t>
  </si>
  <si>
    <t xml:space="preserve">                             -On Current Accounts</t>
  </si>
  <si>
    <t xml:space="preserve">                             -On Deposit Accounts</t>
  </si>
  <si>
    <t xml:space="preserve">                             -On Savings Accounts</t>
  </si>
  <si>
    <t>Additions      during the       year</t>
  </si>
  <si>
    <t xml:space="preserve"> Deductions   during the       year</t>
  </si>
  <si>
    <t>Cost/value          at the              year-end</t>
  </si>
  <si>
    <t>On Deductions           during                the year</t>
  </si>
  <si>
    <t>Total up               to the             Year-end</t>
  </si>
  <si>
    <t>As at                  the Current    year-end</t>
  </si>
  <si>
    <t>As at                  the Previous    year-end</t>
  </si>
  <si>
    <t>11.   Sports Equipment</t>
  </si>
  <si>
    <t>12.   OTHER FIXED ASSETS</t>
  </si>
  <si>
    <t xml:space="preserve">     i) Guest House</t>
  </si>
  <si>
    <t xml:space="preserve">     ii) Pharmacy</t>
  </si>
  <si>
    <t xml:space="preserve">     iii) Hospital Charges</t>
  </si>
  <si>
    <t xml:space="preserve">     i) In Current Accounts (P B Branch)</t>
  </si>
  <si>
    <t xml:space="preserve">     x. AMC/CMC</t>
  </si>
  <si>
    <t xml:space="preserve">    vi) New Pension Scheme - Govt</t>
  </si>
  <si>
    <t xml:space="preserve">     i. Office</t>
  </si>
  <si>
    <t xml:space="preserve">     ii. Hospital</t>
  </si>
  <si>
    <t xml:space="preserve">     iii. Medical</t>
  </si>
  <si>
    <t xml:space="preserve">     iv. Others</t>
  </si>
  <si>
    <t xml:space="preserve">     v. Equipment</t>
  </si>
  <si>
    <t xml:space="preserve">     vii. IHF</t>
  </si>
  <si>
    <t xml:space="preserve">     viii.Nursing College</t>
  </si>
  <si>
    <t xml:space="preserve">             NORTH EASTERN INDIRA GANDHI REGIONAL INSTITUTE OF HEALTH AND MEDICAL SCIENCES: SHILLONG.</t>
  </si>
  <si>
    <t xml:space="preserve">       7.  Other Liabilities:</t>
  </si>
  <si>
    <t xml:space="preserve">        3. Cash Balances in hand (including cheques/drafts and Imprest)</t>
  </si>
  <si>
    <t xml:space="preserve">              a) Medical Equipments</t>
  </si>
  <si>
    <t xml:space="preserve">       1. Acceptances</t>
  </si>
  <si>
    <t xml:space="preserve">       2. Sundry Creditors :</t>
  </si>
  <si>
    <t xml:space="preserve">                   a)  For Goods</t>
  </si>
  <si>
    <t xml:space="preserve">                   b) Others </t>
  </si>
  <si>
    <t xml:space="preserve">       3.  Advances received</t>
  </si>
  <si>
    <t xml:space="preserve">       4.  Interest accrued but not due on :</t>
  </si>
  <si>
    <t xml:space="preserve">       5.  Statutory Liabilities :</t>
  </si>
  <si>
    <t xml:space="preserve">                   a)  Secured Loans/borrowings</t>
  </si>
  <si>
    <t xml:space="preserve">                   b)  Unsecured Loans/borrowings</t>
  </si>
  <si>
    <t xml:space="preserve">                   a)  Overdue</t>
  </si>
  <si>
    <t xml:space="preserve">                   b)  Others:</t>
  </si>
  <si>
    <t xml:space="preserve">                        i) Income Tax</t>
  </si>
  <si>
    <t xml:space="preserve">                        ii) Professional Tax</t>
  </si>
  <si>
    <t xml:space="preserve">                        iii) GI/GSLIS/CGEHS</t>
  </si>
  <si>
    <t xml:space="preserve">                        iv) GPF [Lien]</t>
  </si>
  <si>
    <t xml:space="preserve">       6.  Other current Liabilities</t>
  </si>
  <si>
    <t xml:space="preserve">     vi. Vehicle</t>
  </si>
  <si>
    <t xml:space="preserve">     ix. Main Building</t>
  </si>
  <si>
    <t xml:space="preserve">       1.  For Taxation</t>
  </si>
  <si>
    <t xml:space="preserve">       2.  Gratuity</t>
  </si>
  <si>
    <t xml:space="preserve">       3.  Superannuation/Pension</t>
  </si>
  <si>
    <t xml:space="preserve">       4.  Accumulated Leave Encashment</t>
  </si>
  <si>
    <t xml:space="preserve">       5.  Trade Warranties/Claims</t>
  </si>
  <si>
    <t xml:space="preserve">       6.  Others (Specify)</t>
  </si>
  <si>
    <t xml:space="preserve">           a)  Acceptances secured by hypothecation of capital equipment and other assets</t>
  </si>
  <si>
    <t xml:space="preserve">          6. Debentures and Bonds</t>
  </si>
  <si>
    <t>12.   GRID SUB STATION</t>
  </si>
  <si>
    <t xml:space="preserve">          7. Others (specify)</t>
  </si>
  <si>
    <t>TOTAL ( c )</t>
  </si>
  <si>
    <t xml:space="preserve">     1) Disclosures shall be made under relevant heads based on</t>
  </si>
  <si>
    <t>EARMARKED/ENDOWMENT FUNDS</t>
  </si>
  <si>
    <t>SECURED LOANS AND BORROWINGS</t>
  </si>
  <si>
    <t>DEFERRED CREDIT LIABILITIES</t>
  </si>
  <si>
    <t>CURRENT LIABILITIES AND PROVISIONS</t>
  </si>
  <si>
    <t>Schedule</t>
  </si>
  <si>
    <t>Current Year</t>
  </si>
  <si>
    <t>Previous Year</t>
  </si>
  <si>
    <t>TOTAL</t>
  </si>
  <si>
    <t>ASSETS</t>
  </si>
  <si>
    <t>FIXED ASSETS</t>
  </si>
  <si>
    <t>j) DBT (Workshop )</t>
  </si>
  <si>
    <t>INVESTMENTS – FROM EARMARKED/ENDOWMENT FUNDS</t>
  </si>
  <si>
    <t>INVESTMENT-OTHERS</t>
  </si>
  <si>
    <t xml:space="preserve">          ( A/c No : 30270100002388 )</t>
  </si>
  <si>
    <t>CURRENT ASSETS, LOANS, ADVANCES ETC</t>
  </si>
  <si>
    <t>MISCELLANEOUS EXPENDITURE</t>
  </si>
  <si>
    <t>(to the extent not written off or adjusted)</t>
  </si>
  <si>
    <t>SIGNIFICANT ACCOUNTING POLICIES</t>
  </si>
  <si>
    <t>CONTINGENT LIABILITIES AND NOTES ON ACCOUNTS</t>
  </si>
  <si>
    <t>INCOME</t>
  </si>
  <si>
    <t>Current year</t>
  </si>
  <si>
    <t>Income from Sales/Services</t>
  </si>
  <si>
    <t>On Op. Bal. &amp; Additions during the year</t>
  </si>
  <si>
    <t>a) From Goverment of India</t>
  </si>
  <si>
    <t>b) From State governemnt</t>
  </si>
  <si>
    <t>c) From other sources (details)</t>
  </si>
  <si>
    <t xml:space="preserve">    (Grants for capital &amp; revenue</t>
  </si>
  <si>
    <t xml:space="preserve">     exp. To be shown separately)</t>
  </si>
  <si>
    <t>d) Model Injection Centre</t>
  </si>
  <si>
    <t>e) ICMR</t>
  </si>
  <si>
    <t>f) Atlas [Cancer Project]</t>
  </si>
  <si>
    <t>a) Earmarked/Endow. Funds</t>
  </si>
  <si>
    <t>b) Own Funds (Oth. Investment)</t>
  </si>
  <si>
    <t>a) Miscellaneous</t>
  </si>
  <si>
    <t xml:space="preserve">     (1) Miscellaneous</t>
  </si>
  <si>
    <t xml:space="preserve">     (2) Verbal Autopsy</t>
  </si>
  <si>
    <t xml:space="preserve">                      Advances to Staff :</t>
  </si>
  <si>
    <t>c) Interest on MCA</t>
  </si>
  <si>
    <t>d) Interest on HBA</t>
  </si>
  <si>
    <t>e) Interest on Computer</t>
  </si>
  <si>
    <t xml:space="preserve">             Student Security Deposits</t>
  </si>
  <si>
    <t xml:space="preserve">             Schlorship/ Stipend/ Books Grant</t>
  </si>
  <si>
    <t xml:space="preserve">             PG </t>
  </si>
  <si>
    <t xml:space="preserve">            Security Deposits</t>
  </si>
  <si>
    <t xml:space="preserve">            NEHU Fees</t>
  </si>
  <si>
    <t xml:space="preserve">e) Receipt of Security Deposits/ Liabilities : </t>
  </si>
  <si>
    <t>4.    VEHICLES</t>
  </si>
  <si>
    <t>SCHEDULES FORMING PART OF BALANCE SHEET AS AT 31.03.2010</t>
  </si>
  <si>
    <t xml:space="preserve">    5) Nursing Control Aids [Nagaland &amp; Manipur &amp; Tripura]</t>
  </si>
  <si>
    <t xml:space="preserve">    6) Guest House</t>
  </si>
  <si>
    <t xml:space="preserve">    8) Nursing College</t>
  </si>
  <si>
    <t xml:space="preserve">    9) Pharmacy</t>
  </si>
  <si>
    <t xml:space="preserve">    10) Hospital Charges Received</t>
  </si>
  <si>
    <t xml:space="preserve">    11) Library</t>
  </si>
  <si>
    <t>b) Imprest :</t>
  </si>
  <si>
    <t>c) Earnest Money Deposits :</t>
  </si>
  <si>
    <t xml:space="preserve">            Scholarship</t>
  </si>
  <si>
    <t>a) Establishment Expenses :</t>
  </si>
  <si>
    <t>b) Administrative Expenses :</t>
  </si>
  <si>
    <t>j)  Earnest Money Deposits :</t>
  </si>
  <si>
    <t xml:space="preserve">                     d) Project Advances:</t>
  </si>
  <si>
    <t xml:space="preserve">                          i)  DGHS    </t>
  </si>
  <si>
    <t xml:space="preserve">                          ii) Evaluation cum Impact Study-NEC</t>
  </si>
  <si>
    <t xml:space="preserve">                          iii) National Aids Control</t>
  </si>
  <si>
    <t xml:space="preserve">       i)  Consumables/Medicines </t>
  </si>
  <si>
    <t>SCHEDULE 19 - INCREASE/(DECREASE) IN STOCK OF FINISHED GOODS &amp; WORK IN PROGRESS</t>
  </si>
  <si>
    <t>NET INCREASE/(DECREASE) [a-b]</t>
  </si>
  <si>
    <t xml:space="preserve">                      Mr. M. Kiling</t>
  </si>
  <si>
    <t xml:space="preserve">                      Smt. N. Das, Principal Nursing</t>
  </si>
  <si>
    <t xml:space="preserve">        3)  Deposits :</t>
  </si>
  <si>
    <t xml:space="preserve">            ii) Mobile Telephone</t>
  </si>
  <si>
    <t xml:space="preserve">            iii) Me.S.E.B.</t>
  </si>
  <si>
    <t xml:space="preserve">            i) Telephone</t>
  </si>
  <si>
    <t xml:space="preserve">        4)  Income Accrued :</t>
  </si>
  <si>
    <t xml:space="preserve">              i)  On Investments from Earmarked/Endowment Funds</t>
  </si>
  <si>
    <t xml:space="preserve">              ii)  On investments-Others</t>
  </si>
  <si>
    <t xml:space="preserve">              iii)  On Loans and Advances</t>
  </si>
  <si>
    <t xml:space="preserve">              iv)  Others</t>
  </si>
  <si>
    <t xml:space="preserve">        5)  Claims Receivable :</t>
  </si>
  <si>
    <t xml:space="preserve">            value to be received :</t>
  </si>
  <si>
    <t xml:space="preserve"> 4) With Scheduled Banks :</t>
  </si>
  <si>
    <t>5) With non-Scheduled Banks :</t>
  </si>
  <si>
    <t>6) Post Office-Savings Accounts :</t>
  </si>
  <si>
    <t>8.    ELECTRIC INSTALLATIONS</t>
  </si>
  <si>
    <t>9.    LIBRARY BOOKS (Books &amp; Journals)</t>
  </si>
  <si>
    <t>10.  TUBEWELLS &amp; WATER SUPPLY</t>
  </si>
  <si>
    <t>11.   SPORTS EQUIPMENTS</t>
  </si>
  <si>
    <t xml:space="preserve">           a) Closing Stock</t>
  </si>
  <si>
    <t>A.  CURRENT LIABILITIES :</t>
  </si>
  <si>
    <t>B. PROVISIONS :</t>
  </si>
  <si>
    <t>Notes :</t>
  </si>
  <si>
    <t xml:space="preserve">         conditions attaching to the grants</t>
  </si>
  <si>
    <t>Additions during the Year</t>
  </si>
  <si>
    <t>ii. Medical Equipment [HSCC]</t>
  </si>
  <si>
    <t>(d) Boundry Wall</t>
  </si>
  <si>
    <t>Deletions during the Year</t>
  </si>
  <si>
    <t xml:space="preserve">       (k) Vehicle</t>
  </si>
  <si>
    <t>Transfer to/ from general Reserve</t>
  </si>
  <si>
    <t xml:space="preserve">              ii) Hiring of Services (Manpower)</t>
  </si>
  <si>
    <t xml:space="preserve">     Add: Contribution towards Corpus/Capital Fund</t>
  </si>
  <si>
    <t xml:space="preserve">  NORTH EASTERN INDIRA GANDHI REGIONAL INSTITUTE OF HEALTH AND MEDICAL SCIENCES : SHILLONG.</t>
  </si>
  <si>
    <t xml:space="preserve">                  b) Nursing College</t>
  </si>
  <si>
    <t xml:space="preserve">                  d) Out Patient at Hospital</t>
  </si>
  <si>
    <t xml:space="preserve">                  e) Hospital Charges (Security Deposit)</t>
  </si>
  <si>
    <t>Others:</t>
  </si>
  <si>
    <t xml:space="preserve">             Fees Collected to be Remitted</t>
  </si>
  <si>
    <t xml:space="preserve">     Evaluation cum Impact Study</t>
  </si>
  <si>
    <t>a) Cash in Hand:</t>
  </si>
  <si>
    <t>a) Recovery of Advances :</t>
  </si>
  <si>
    <t xml:space="preserve">     Development Upgrading Infrastructure in MC</t>
  </si>
  <si>
    <t xml:space="preserve">     PMR in Medical College</t>
  </si>
  <si>
    <t xml:space="preserve"> A) Cash in Hand :</t>
  </si>
  <si>
    <t xml:space="preserve">      iv) Nursing College  :</t>
  </si>
  <si>
    <t>p) Seminars &amp; Workshop</t>
  </si>
  <si>
    <t xml:space="preserve">                            i) Dev Upgradation Infra in MC</t>
  </si>
  <si>
    <t xml:space="preserve">                            j) Evaluation cum Imapct Study</t>
  </si>
  <si>
    <t xml:space="preserve">                            k) PMR in Medical College</t>
  </si>
  <si>
    <t xml:space="preserve">                     g) Guest House :</t>
  </si>
  <si>
    <t xml:space="preserve">                      f) Nursing College Advances</t>
  </si>
  <si>
    <t xml:space="preserve">                      e) MBBS Advances</t>
  </si>
  <si>
    <t xml:space="preserve">                      Dr Rashna Dass</t>
  </si>
  <si>
    <t xml:space="preserve">                      Smt C E Myrthong</t>
  </si>
  <si>
    <t xml:space="preserve">                         Dr A C Phukan</t>
  </si>
  <si>
    <t>q) National Programme for Control of Blindness</t>
  </si>
  <si>
    <t xml:space="preserve">                 a) M/s HSCC, Civil Works</t>
  </si>
  <si>
    <t xml:space="preserve">                 b) M/s Philips Electronics</t>
  </si>
  <si>
    <t>Balance being excess of Income over Expenditure (A-B)</t>
  </si>
  <si>
    <t xml:space="preserve">                 the Income and Expenditure Account</t>
  </si>
  <si>
    <t>v) Main Civil Works</t>
  </si>
  <si>
    <t>vi) C &amp; D Quarters</t>
  </si>
  <si>
    <t>vii) Construction of Security Accomodation</t>
  </si>
  <si>
    <t xml:space="preserve">        (i) Office Equipment</t>
  </si>
  <si>
    <t>(l) GFARM</t>
  </si>
  <si>
    <t>(l) Grill Substation</t>
  </si>
  <si>
    <t>r) Nursing College [Assam-SACS &amp; Tripura]</t>
  </si>
  <si>
    <t xml:space="preserve">                      </t>
  </si>
  <si>
    <t xml:space="preserve">                        Euphoria</t>
  </si>
  <si>
    <t>Particulars</t>
  </si>
  <si>
    <t>Amount</t>
  </si>
  <si>
    <t>Depreciation</t>
  </si>
  <si>
    <t>Net Amount</t>
  </si>
  <si>
    <t>Civil Works [Project]</t>
  </si>
  <si>
    <t>Additional Civil Works in Blood Bank</t>
  </si>
  <si>
    <t>Approach Road, Main Gate</t>
  </si>
  <si>
    <t>Cardiology Ward for Installing Mobile-Cath Lab</t>
  </si>
  <si>
    <t>Civil Work for X Ray &amp; CT Scan</t>
  </si>
  <si>
    <t>Civil Work in Basic Sc Block - Group I</t>
  </si>
  <si>
    <t>Civil Work in Basic Sc Block - Group II</t>
  </si>
  <si>
    <t>Civil Work in Basic Sc Block - Group III</t>
  </si>
  <si>
    <t>Civil Work in C4 &amp; C5 Qtrs [MBBS Hostel]</t>
  </si>
  <si>
    <t>Civil Work in Obs &amp; Gynae OT</t>
  </si>
  <si>
    <t>Civil Work in Physiotherapy Room</t>
  </si>
  <si>
    <t>Civil Works at Blood Bank</t>
  </si>
  <si>
    <t>Civil Works at Paediatric</t>
  </si>
  <si>
    <t>Civil Works in Cardiology Ward/ICU</t>
  </si>
  <si>
    <t>Civil Works in Casualty Department</t>
  </si>
  <si>
    <t>Civil Works in Emergency OT</t>
  </si>
  <si>
    <t>Civil Works in the Library</t>
  </si>
  <si>
    <t>Civil Works of Electrical Work</t>
  </si>
  <si>
    <t>Civil Works of X Ray Room</t>
  </si>
  <si>
    <t>Civil Works [Epoxy Flooring in the Neonatal ICU]</t>
  </si>
  <si>
    <t>Collapsible Gate at Director's Block</t>
  </si>
  <si>
    <t>Construction at Pharmacy</t>
  </si>
  <si>
    <t>Construction of CC Footpath to Level - 1</t>
  </si>
  <si>
    <t>Construction of Children's Park</t>
  </si>
  <si>
    <t>Construction of Examination Hall</t>
  </si>
  <si>
    <t>Construction of Garbage Room</t>
  </si>
  <si>
    <t>Construction of Retaining Wall at Children's Park</t>
  </si>
  <si>
    <t>Construction of Stone Mosanary Wall etc</t>
  </si>
  <si>
    <t>Construction of Store Room at Director's Block</t>
  </si>
  <si>
    <t>Construction of Store Room for Pathology Deptt</t>
  </si>
  <si>
    <t>Construction of Store Rooms below the Auditorium</t>
  </si>
  <si>
    <t>Construction of Toilet at Director's Block</t>
  </si>
  <si>
    <t>Construction of UPS Room, CT Scan &amp; X Ray</t>
  </si>
  <si>
    <t>Counter of Security Box etc</t>
  </si>
  <si>
    <t>CTVS, OT &amp;  ICU</t>
  </si>
  <si>
    <t>Electrical Work in the Blook Bank Deptt</t>
  </si>
  <si>
    <t>Electrical Work for X Ray and CT Scan</t>
  </si>
  <si>
    <t>Electrical Works in CTVS OT</t>
  </si>
  <si>
    <t>Furnishing of OT Ceiling at 56.00 Lvl</t>
  </si>
  <si>
    <t>Misc Works in RMO Hostel</t>
  </si>
  <si>
    <t>M S Grill Partitions etc</t>
  </si>
  <si>
    <t>Providing Anodised Alluminium OPD etc</t>
  </si>
  <si>
    <t>Providing Shelves in Kitchen of Shoes Racks etc</t>
  </si>
  <si>
    <t>Providing Steel Work for Hanging &amp; Dying Cloths</t>
  </si>
  <si>
    <t>Provision for Alluminium [Reception]</t>
  </si>
  <si>
    <t>Provision for Sinks &amp; Basins</t>
  </si>
  <si>
    <t>Provision of Alluminium Composite &amp; Steel Lettering</t>
  </si>
  <si>
    <t>Provision of Alluminium Doors with Prelaminated</t>
  </si>
  <si>
    <t>Provision of Alluminium Rack Table etc</t>
  </si>
  <si>
    <t>Provision of Cash Counter in Director's Block</t>
  </si>
  <si>
    <t>Provision of CC Drain, Grill Interceptor's Main Gate</t>
  </si>
  <si>
    <t>Provision of Collapsible Gate</t>
  </si>
  <si>
    <t>Provision of Collapsible Gate &amp; Toilet in Store</t>
  </si>
  <si>
    <t>Provision of Cupboard in Pay Ward Block</t>
  </si>
  <si>
    <t>Provision of Curtain Rods</t>
  </si>
  <si>
    <t>Provision of Doors etc at Public Utility Block</t>
  </si>
  <si>
    <t>Provision of False Ceiling Painting &amp; Misc work</t>
  </si>
  <si>
    <t>Provision of Laboratory Table etc</t>
  </si>
  <si>
    <t>Provision of Sinks, Working Platform etc</t>
  </si>
  <si>
    <t>Provision of Steel Chimney &amp; Cooking Slab at Exam</t>
  </si>
  <si>
    <t>Provision of Alluminium Doors in Bio-chemistry Deptt</t>
  </si>
  <si>
    <t>Provision [Alluminium &amp; Prelam Board Partition etc]</t>
  </si>
  <si>
    <t>Provision [Anodized Alluminium Doors at Hospital]</t>
  </si>
  <si>
    <t>RCC &amp; CC Topping [Main Entrance]</t>
  </si>
  <si>
    <t>Retro Reflectorised Sign Board in Campus</t>
  </si>
  <si>
    <t>Sentry Box &amp; Drop Gates at STP &amp; Counter</t>
  </si>
  <si>
    <t>Steel Casement Fixed Window</t>
  </si>
  <si>
    <t>Supply &amp; Fitting of Cut Outs</t>
  </si>
  <si>
    <t>Alluminium Works in Obs &amp; Gynae Deptt</t>
  </si>
  <si>
    <t>Alluminium Works in the Cardiology Deptt</t>
  </si>
  <si>
    <t>Civil Works in Anesthesialogy Deptt</t>
  </si>
  <si>
    <t>Civil Works in Casualty Deptt</t>
  </si>
  <si>
    <t>Civil Works in Dialysis Unit</t>
  </si>
  <si>
    <t>Construction of Aduiometric Room</t>
  </si>
  <si>
    <t>Construction of Shed &amp; Waste Sharp Pit</t>
  </si>
  <si>
    <t>Construction of Pedestal for the Statue of (L) Indira</t>
  </si>
  <si>
    <t>Electrical Work in the CTVS/ICU</t>
  </si>
  <si>
    <t>Electrical Work in Pathology Deptt</t>
  </si>
  <si>
    <t>Lifting, Lowering, Flushing of 10 Bore Wells</t>
  </si>
  <si>
    <t>Providing Ornamental Grill in Library</t>
  </si>
  <si>
    <t>Provision of Alluminium Partition with Prelam Board</t>
  </si>
  <si>
    <t>Provision of Alluminium Partition with Prelaminated</t>
  </si>
  <si>
    <t>Provision of Alluminium with Pre Laminated Board</t>
  </si>
  <si>
    <t>Provision of Alluminium Frame Casulty &amp; Diagnostic</t>
  </si>
  <si>
    <t>Provision of Slabs, Cupboard in Microbiology Deptt</t>
  </si>
  <si>
    <t>Provision of Steel Frames for Table, Sink, Racus etc</t>
  </si>
  <si>
    <t>Statue of (L) Indira Gandhi</t>
  </si>
  <si>
    <t>Storage Area of Non-infectious Waste</t>
  </si>
  <si>
    <t>Supply &amp; Fitting of Notice Boards in the Campus</t>
  </si>
  <si>
    <t>Total [10%+5%]</t>
  </si>
  <si>
    <t>50 % of (10 %) [i.e 1.10.2010 to 31.03.2011]</t>
  </si>
  <si>
    <t>Tally</t>
  </si>
  <si>
    <t>Diff between Excel &amp; Tally</t>
  </si>
  <si>
    <t>Excel</t>
  </si>
  <si>
    <t>Amount to be Depreciated</t>
  </si>
  <si>
    <t xml:space="preserve">Total Amount to be Depreciated </t>
  </si>
  <si>
    <t>Amount to be Depreciated during the year</t>
  </si>
  <si>
    <t xml:space="preserve">Net Amount </t>
  </si>
  <si>
    <t xml:space="preserve">              b) Medical Equipment (HSCC)</t>
  </si>
  <si>
    <t>HSCC:</t>
  </si>
  <si>
    <t>m) HSCC:</t>
  </si>
  <si>
    <t xml:space="preserve">                 c)  Material testing charges due to HSCCIL</t>
  </si>
  <si>
    <t xml:space="preserve">                 d)  Recoveries from Staff</t>
  </si>
  <si>
    <t xml:space="preserve">                m) Miscellaneous</t>
  </si>
  <si>
    <t xml:space="preserve">    12) M/s HSCC</t>
  </si>
  <si>
    <t xml:space="preserve">   iii) M/s HSCC Capital-Work-in Progress</t>
  </si>
  <si>
    <t>Months</t>
  </si>
  <si>
    <t xml:space="preserve">2nd (31.03.2012) </t>
  </si>
  <si>
    <t>3rd (31.03.2013)</t>
  </si>
  <si>
    <t>4th (31.03.2014)</t>
  </si>
  <si>
    <t>1st (31.03.2011)</t>
  </si>
  <si>
    <t>5th (14.07.2014)</t>
  </si>
  <si>
    <t>Total</t>
  </si>
  <si>
    <t>Net Amount 31.03.2010</t>
  </si>
  <si>
    <t>Per Month</t>
  </si>
  <si>
    <t xml:space="preserve">                    iii) Dr. Alice A. Ruram, Assistant Professor</t>
  </si>
  <si>
    <t xml:space="preserve">                    ii) Dr. U.K. Bhadani</t>
  </si>
  <si>
    <t xml:space="preserve">                                  Medical Equipments</t>
  </si>
  <si>
    <t xml:space="preserve">                     v) Contractors for Civil Works </t>
  </si>
  <si>
    <t>b) Bank Balances :</t>
  </si>
  <si>
    <t xml:space="preserve">       f)  Boundary Wall</t>
  </si>
  <si>
    <t xml:space="preserve">                      Euphoria's [Socio Cultural Activities for Students]</t>
  </si>
  <si>
    <t xml:space="preserve">     ii)  Pharmacy</t>
  </si>
  <si>
    <t xml:space="preserve">     v)  GFATM</t>
  </si>
  <si>
    <t xml:space="preserve">     i)   Guest House</t>
  </si>
  <si>
    <t xml:space="preserve">     iv)   FD Nursing College BoB, Police Bazar</t>
  </si>
  <si>
    <t xml:space="preserve">     iii)   Savings Accounts</t>
  </si>
  <si>
    <t xml:space="preserve">             a) Cheque in Transit</t>
  </si>
  <si>
    <t xml:space="preserve">   iv) Misc </t>
  </si>
  <si>
    <t xml:space="preserve">   vi) Civil Works</t>
  </si>
  <si>
    <t xml:space="preserve">    i)  M/s HSCC</t>
  </si>
  <si>
    <t xml:space="preserve">   ii)  Capital Work-In-Progress</t>
  </si>
  <si>
    <t xml:space="preserve">      i)   Retention Money</t>
  </si>
  <si>
    <t xml:space="preserve">      v) MBBS/ PG  :</t>
  </si>
  <si>
    <t xml:space="preserve">      vi)  Hospital Charges </t>
  </si>
  <si>
    <t xml:space="preserve">    ix)    MCA (Staff)</t>
  </si>
  <si>
    <t xml:space="preserve">    viii)  HBA</t>
  </si>
  <si>
    <t xml:space="preserve">    vii)   Festival Advance</t>
  </si>
  <si>
    <t xml:space="preserve">    vi)    Computer</t>
  </si>
  <si>
    <t xml:space="preserve">    v)     Misc</t>
  </si>
  <si>
    <t xml:space="preserve">    iv)    Medical</t>
  </si>
  <si>
    <t xml:space="preserve">    iii)    TA</t>
  </si>
  <si>
    <t xml:space="preserve">    ii)     Meeting</t>
  </si>
  <si>
    <t xml:space="preserve">    i)      LTC</t>
  </si>
  <si>
    <t xml:space="preserve">    i)  Salary &amp; Wages</t>
  </si>
  <si>
    <t xml:space="preserve">    ii)  Honorarium</t>
  </si>
  <si>
    <t xml:space="preserve">    v)  Hiring of Services [Man Power]</t>
  </si>
  <si>
    <t xml:space="preserve">     xxxi)   College of Nursing</t>
  </si>
  <si>
    <t xml:space="preserve">     xxix)   Printing &amp; Publication</t>
  </si>
  <si>
    <t xml:space="preserve">     xviii)   Sitting Fees</t>
  </si>
  <si>
    <t xml:space="preserve">     vi)   Vehicle</t>
  </si>
  <si>
    <t xml:space="preserve">     iii)   Medical</t>
  </si>
  <si>
    <t xml:space="preserve">     vii)   Computer</t>
  </si>
  <si>
    <t xml:space="preserve">     xxiii)   Recoveries from Staff</t>
  </si>
  <si>
    <t xml:space="preserve">     xviii)   Office Equipment</t>
  </si>
  <si>
    <t xml:space="preserve">         iv) Released of EMD</t>
  </si>
  <si>
    <t xml:space="preserve">         v)  Minor Civil Works</t>
  </si>
  <si>
    <t xml:space="preserve">         ii)  Security Deposit/Retention Money</t>
  </si>
  <si>
    <t xml:space="preserve">         i)   Permanent Campus</t>
  </si>
  <si>
    <t xml:space="preserve">    iii) Civil Works </t>
  </si>
  <si>
    <t xml:space="preserve">    iv) Medical Equipment</t>
  </si>
  <si>
    <t xml:space="preserve">    ii)  LD recovered</t>
  </si>
  <si>
    <t xml:space="preserve">    i)   M/s HSCC</t>
  </si>
  <si>
    <t xml:space="preserve">     ii) Refreshment Expenses</t>
  </si>
  <si>
    <t xml:space="preserve">     i)  Maintenance Expenses</t>
  </si>
  <si>
    <t xml:space="preserve">      viii) Expenses</t>
  </si>
  <si>
    <t xml:space="preserve">      vii)  Miscellaneous</t>
  </si>
  <si>
    <t xml:space="preserve">      vi)   Remuneration</t>
  </si>
  <si>
    <t xml:space="preserve">      v)    Registration Fees</t>
  </si>
  <si>
    <t xml:space="preserve">      iv)   Refreshment Expenses</t>
  </si>
  <si>
    <t xml:space="preserve">      iii)   Examination Fees</t>
  </si>
  <si>
    <t xml:space="preserve">      ii)    Entrance Exams</t>
  </si>
  <si>
    <t xml:space="preserve">      i)     Annual Enrollment Fees</t>
  </si>
  <si>
    <t xml:space="preserve">      i)  Bank Charges</t>
  </si>
  <si>
    <t xml:space="preserve">      ii) Other Expenses</t>
  </si>
  <si>
    <t xml:space="preserve">     i)   Security Deposits</t>
  </si>
  <si>
    <t xml:space="preserve">     ii)  Scholarship</t>
  </si>
  <si>
    <t xml:space="preserve">     iii) NEHU Fees</t>
  </si>
  <si>
    <t xml:space="preserve">     Refund of Security Deposit to Patients</t>
  </si>
  <si>
    <t xml:space="preserve">     i)   MBBS Security Deposit Refund</t>
  </si>
  <si>
    <t xml:space="preserve">     ii)  Schlorship/ Stipend/ Books Grant</t>
  </si>
  <si>
    <t xml:space="preserve">     iii) PG ( Security Deposits)</t>
  </si>
  <si>
    <t xml:space="preserve">     iv) Fees Collected Remitted to NEHU</t>
  </si>
  <si>
    <t xml:space="preserve">    ix)   Nursing Adv [Assam &amp; Tripura SACS]</t>
  </si>
  <si>
    <t xml:space="preserve">    v)    NEC Scheme Advance </t>
  </si>
  <si>
    <t xml:space="preserve">    iv)   Advance to DBT Workshop</t>
  </si>
  <si>
    <t xml:space="preserve">    iii)   Advance MIC </t>
  </si>
  <si>
    <t xml:space="preserve">    ii)    Advance JSY </t>
  </si>
  <si>
    <t xml:space="preserve">    i)     Adv  Project Nursing</t>
  </si>
  <si>
    <t>31.03.2014</t>
  </si>
  <si>
    <t xml:space="preserve">     vi) Imprest</t>
  </si>
  <si>
    <t>f) Interest on Penalty</t>
  </si>
  <si>
    <t xml:space="preserve">k) Receipt of Security Deposits/ Liabilities : </t>
  </si>
  <si>
    <t xml:space="preserve">                    iv) Dr. A.S. Singh, Dean</t>
  </si>
  <si>
    <t xml:space="preserve">                    i) Ms W Dkhar, Librarian</t>
  </si>
  <si>
    <t>In-Charge Ancillary Store:</t>
  </si>
  <si>
    <t>Head of Accounts</t>
  </si>
  <si>
    <t>Office Furniture</t>
  </si>
  <si>
    <t>Office Equipments</t>
  </si>
  <si>
    <t>Hospital Furniture</t>
  </si>
  <si>
    <t>Ouarter Furniture</t>
  </si>
  <si>
    <t>Students Furniture</t>
  </si>
  <si>
    <t>Electrical Fittings &amp; Appliances</t>
  </si>
  <si>
    <t>Utensils Crockery Etc</t>
  </si>
  <si>
    <t>Plumbing Items</t>
  </si>
  <si>
    <t>Carpentry</t>
  </si>
  <si>
    <t>In-Charges Medicine Store:</t>
  </si>
  <si>
    <t>Hospital Pharmacy Medicines</t>
  </si>
  <si>
    <t>Hospital PharmacyCath Lab, Radiology Stores &amp; Dialysis</t>
  </si>
  <si>
    <t>Hospital Medicines Stores</t>
  </si>
  <si>
    <t>Hospital Disposable Stores</t>
  </si>
  <si>
    <t>Hospital Reagents Stores</t>
  </si>
  <si>
    <t>Hospital Surgical Instruments Stores</t>
  </si>
  <si>
    <t>Hospital Surgicals &amp; Disinfectants Stores</t>
  </si>
  <si>
    <t>Hospital Sutures Stores</t>
  </si>
  <si>
    <t>Stationeries</t>
  </si>
  <si>
    <t>Hospital Consumables</t>
  </si>
  <si>
    <t>Hospital Linens</t>
  </si>
  <si>
    <t>Printings</t>
  </si>
  <si>
    <t>Sanitary &amp; General Consumables</t>
  </si>
  <si>
    <t>Sub Total:</t>
  </si>
  <si>
    <t>Grant Total:</t>
  </si>
  <si>
    <r>
      <t xml:space="preserve">Amount </t>
    </r>
    <r>
      <rPr>
        <b/>
        <sz val="15"/>
        <color theme="1"/>
        <rFont val="Rupee Foradian"/>
        <family val="2"/>
      </rPr>
      <t>`</t>
    </r>
  </si>
  <si>
    <t xml:space="preserve">         i) Officer/Staff Benefits :</t>
  </si>
  <si>
    <t xml:space="preserve">      iii) Officer/Staff Benefits :</t>
  </si>
  <si>
    <t xml:space="preserve">                         Dr Brian Shunyu</t>
  </si>
  <si>
    <t>PMR- Development</t>
  </si>
  <si>
    <t xml:space="preserve">Blindness Control </t>
  </si>
  <si>
    <t xml:space="preserve">                     h) Seminars &amp; Workshops :</t>
  </si>
  <si>
    <t xml:space="preserve">    7) MBBS/PG</t>
  </si>
  <si>
    <t xml:space="preserve">                  a) MBBS/PG</t>
  </si>
  <si>
    <t xml:space="preserve">                        Dr Star Pala, Asst Prof</t>
  </si>
  <si>
    <t>iii. Medical Equipment- Projects</t>
  </si>
  <si>
    <t>Prior Period Depreciation</t>
  </si>
  <si>
    <t xml:space="preserve">     Add : Balance of net income transferred from</t>
  </si>
  <si>
    <t>Contd: page 24</t>
  </si>
  <si>
    <t>100% [10 %] [i.e. 1.4.11 -30.09.2011]</t>
  </si>
  <si>
    <t>Civil Works in Animal House</t>
  </si>
  <si>
    <t>Civil works in Casualty Department</t>
  </si>
  <si>
    <t>Civil Works in Payward Block</t>
  </si>
  <si>
    <t>Construction of footpath from RMO Hostel</t>
  </si>
  <si>
    <t>Construction of Pedestal Flag Pole in the Campus</t>
  </si>
  <si>
    <t>Construction of Pump House &amp; Fencing at STP</t>
  </si>
  <si>
    <t>Constructon of Retaining Wall Near Bore Well</t>
  </si>
  <si>
    <t>Construction of Storage Tank for Cadavar Etc</t>
  </si>
  <si>
    <t>Providing Fitting &amp; Fixing Alluminium Doors in Hosp</t>
  </si>
  <si>
    <t>Providing Fitting &amp; Fixing of 4 Alluminium Doors</t>
  </si>
  <si>
    <t>Providing Fitting &amp; Fixing of Sinks, Etc in Hosp</t>
  </si>
  <si>
    <t>Providing Seminar Room with Alumunium Cubicals</t>
  </si>
  <si>
    <t>Providing Wash Basin Fibre Glass Man Hole Slab Etc</t>
  </si>
  <si>
    <t>Providing of Slabs, Partition Etc Dept Micro</t>
  </si>
  <si>
    <t>Prov of Slab, Partition &amp; Cupboard in Micro Deptt</t>
  </si>
  <si>
    <t>Supply &amp; Fitting of Stell Signboard with Angle Post</t>
  </si>
  <si>
    <t>Page 1 of 43</t>
  </si>
  <si>
    <t>Page 2 of 43</t>
  </si>
  <si>
    <t>Page 8 of 43</t>
  </si>
  <si>
    <t>Page 9 of 43</t>
  </si>
  <si>
    <t>Page 10 of 43</t>
  </si>
  <si>
    <t>Page 11 of 43</t>
  </si>
  <si>
    <t>Page 12 of 43</t>
  </si>
  <si>
    <t>Page 13 of 43</t>
  </si>
  <si>
    <t>Page 15 of 43</t>
  </si>
  <si>
    <t>Page 17 of 43</t>
  </si>
  <si>
    <t>Page 18 of 43</t>
  </si>
  <si>
    <t>Page 19 of 43</t>
  </si>
  <si>
    <t>Page 20 of 43</t>
  </si>
  <si>
    <t>Page 21 of 43</t>
  </si>
  <si>
    <t>Page 22 of 43</t>
  </si>
  <si>
    <t>Page 23 of 43</t>
  </si>
  <si>
    <t>Page 24 of 43</t>
  </si>
  <si>
    <t>Page 25 of 43</t>
  </si>
  <si>
    <t>Page 26 of 43</t>
  </si>
  <si>
    <t>Page 27 of 43</t>
  </si>
  <si>
    <t>Page 28 of 43</t>
  </si>
  <si>
    <t>Page 29 of 43</t>
  </si>
  <si>
    <t>Page 30 of 43</t>
  </si>
  <si>
    <t>Page 31 of 43</t>
  </si>
  <si>
    <t xml:space="preserve">     xxvi)   Book/Thesis</t>
  </si>
  <si>
    <t xml:space="preserve">     xxiv)   Children Education Allowances</t>
  </si>
  <si>
    <t xml:space="preserve">     xxiii)   General Maintenance</t>
  </si>
  <si>
    <t xml:space="preserve">     xxiv)   Crockiries/Utensils</t>
  </si>
  <si>
    <t xml:space="preserve">     xxvi)   General Maintenance</t>
  </si>
  <si>
    <t xml:space="preserve">     xxix)   Learning Resource Allowance</t>
  </si>
  <si>
    <t xml:space="preserve">     xxxi)   Medical Expenses</t>
  </si>
  <si>
    <t xml:space="preserve">       i)  Main Account VAT</t>
  </si>
  <si>
    <t xml:space="preserve">      iii) Labour Cess</t>
  </si>
  <si>
    <t xml:space="preserve">     National Service Scheme</t>
  </si>
  <si>
    <t xml:space="preserve">    Forfeited of EMD</t>
  </si>
  <si>
    <t xml:space="preserve">     DBT- Twinning/Training Programme</t>
  </si>
  <si>
    <t>Other Income (Projects/Seminar Etc)</t>
  </si>
  <si>
    <t>d) Projects/Seminars Recoveries from Suppliers (VAT, CESS &amp; Income Tax)</t>
  </si>
  <si>
    <t xml:space="preserve">      iv) Income Tax</t>
  </si>
  <si>
    <t xml:space="preserve">      ii) Others VAT</t>
  </si>
  <si>
    <t>s) Hepatitis B Virus</t>
  </si>
  <si>
    <t>t) DBT- Twinning/Training Programme</t>
  </si>
  <si>
    <t xml:space="preserve">n) Rastriya Arogya Nidhi Scheme </t>
  </si>
  <si>
    <t>u) DBT R &amp; D Infra</t>
  </si>
  <si>
    <t xml:space="preserve">                            l) DBT- Twinning/Training Programme</t>
  </si>
  <si>
    <t xml:space="preserve">    13) Forfeited of EMD</t>
  </si>
  <si>
    <t xml:space="preserve">    14) Other- Projects</t>
  </si>
  <si>
    <t xml:space="preserve">    15) Other- Misc</t>
  </si>
  <si>
    <t>13. Solar Plant</t>
  </si>
  <si>
    <t>14.   OTHER FIXED ASSETS :</t>
  </si>
  <si>
    <t xml:space="preserve">                         Dr B Borgohain</t>
  </si>
  <si>
    <t xml:space="preserve">                         Seminar &amp; Workshop</t>
  </si>
  <si>
    <t xml:space="preserve">                           m) National Service Scheme</t>
  </si>
  <si>
    <t>v) National Service Scheme</t>
  </si>
  <si>
    <t xml:space="preserve">     ii) Savings Accounts</t>
  </si>
  <si>
    <t>(I) ICMR</t>
  </si>
  <si>
    <t>(h) Solar Plant</t>
  </si>
  <si>
    <t xml:space="preserve">                   i.  Out-Patient</t>
  </si>
  <si>
    <t xml:space="preserve">                   ii. Guest House</t>
  </si>
  <si>
    <t xml:space="preserve">                   iii.  Nursing College</t>
  </si>
  <si>
    <t xml:space="preserve">                   iv.  MBBS/PG Expenses</t>
  </si>
  <si>
    <t xml:space="preserve">          g) Salary (Contractual)</t>
  </si>
  <si>
    <t xml:space="preserve">          h) Others (specify)</t>
  </si>
  <si>
    <t xml:space="preserve">          f )  Pension</t>
  </si>
  <si>
    <t xml:space="preserve">     4)  Miscellaneous Income (IPO, Sales of Tender, Rent from Canteen, Pharmacy &amp; Electricity for Shops, RTI Etc)</t>
  </si>
  <si>
    <t xml:space="preserve">                    v) Dr. S.L. Sailo, Assistant Professor</t>
  </si>
  <si>
    <t xml:space="preserve">                    vi) Dr. Vandana Raphael, Professor</t>
  </si>
  <si>
    <t xml:space="preserve">                    vii) Mr. Achyut Deka, Stenographer</t>
  </si>
  <si>
    <t xml:space="preserve">                    viii) Dr Lutika Lyngdoh</t>
  </si>
  <si>
    <t xml:space="preserve">                    ix) Pro Assistant</t>
  </si>
  <si>
    <t xml:space="preserve">                    x) Ms C E Myrthong, I/c Principal, CON</t>
  </si>
  <si>
    <t xml:space="preserve">                    xi) Dr Sri Ram Sarma, Asst Prof</t>
  </si>
  <si>
    <t xml:space="preserve">                    xii) Dr. A.C. Phukan,Professor</t>
  </si>
  <si>
    <t xml:space="preserve">                    xiii) Dr. A.D. Ropmay,Asst Professor</t>
  </si>
  <si>
    <t xml:space="preserve">                    xiv) Dr. Asima Bhattacharya ,Professor &amp; Warden</t>
  </si>
  <si>
    <t xml:space="preserve">                    xv) Dr.N Natung, Asst Prof</t>
  </si>
  <si>
    <t xml:space="preserve">                    xvi) Dr. D.K.Brahma,Asst Professor </t>
  </si>
  <si>
    <t xml:space="preserve">                    xvii) Ms Guddi Bhagat, Hindi Typist</t>
  </si>
  <si>
    <t xml:space="preserve">                    xviii) Mr. D.T.Umdor,EE</t>
  </si>
  <si>
    <t xml:space="preserve">                    xix) Mr. M.Killing ,UDC</t>
  </si>
  <si>
    <t xml:space="preserve">                    xx) Mr.S.Kharbhih,stenographer</t>
  </si>
  <si>
    <t xml:space="preserve">                    xxi) Ms. Ibadahun Blah,stenographer</t>
  </si>
  <si>
    <t xml:space="preserve">                    xxii) Dr N Brian Shunyu, Asst Prof</t>
  </si>
  <si>
    <t xml:space="preserve">                    xxiii) Mr Umesh Sharma, Motor Machenics</t>
  </si>
  <si>
    <t xml:space="preserve">                    xxiv) Dr B Borgohain, Asst Prof</t>
  </si>
  <si>
    <t xml:space="preserve">                    xxv) Dr A J Momin, Casualty Officer</t>
  </si>
  <si>
    <t xml:space="preserve">                    xxvi) Dr Rituparna Baroah</t>
  </si>
  <si>
    <t xml:space="preserve">                   xxvii) Mr E Jiten Singh, Law Officer</t>
  </si>
  <si>
    <t xml:space="preserve">     v) GFATM</t>
  </si>
  <si>
    <t xml:space="preserve">     iii) ICMR/MIC [BoB-MDD]</t>
  </si>
  <si>
    <t xml:space="preserve">     iv) In Current Accounts (MawDD Branch)</t>
  </si>
  <si>
    <t xml:space="preserve">     v) Atlas Project BoB-PB</t>
  </si>
  <si>
    <t xml:space="preserve">     vi) Nursing College</t>
  </si>
  <si>
    <t xml:space="preserve">     vii) Referral Patient [Outside Patient]</t>
  </si>
  <si>
    <t xml:space="preserve">     viii) National Aids Control [NACO A/c No: 10019]</t>
  </si>
  <si>
    <t xml:space="preserve">     ix) MBBS (10015)</t>
  </si>
  <si>
    <t xml:space="preserve">     x) Janani Suraksha Yojana (10018)</t>
  </si>
  <si>
    <t xml:space="preserve">     xi) Guest House (2001062)</t>
  </si>
  <si>
    <t xml:space="preserve">     xii) Library (2001730)</t>
  </si>
  <si>
    <t xml:space="preserve">     xiii) Hospital Charges (2001066)</t>
  </si>
  <si>
    <t xml:space="preserve">     xiv) Pharmacy (2001490)</t>
  </si>
  <si>
    <t xml:space="preserve">     xv) GFATM Project  (A/C No 30270100000830)</t>
  </si>
  <si>
    <t xml:space="preserve">     xvi) PMR Medical College(A/c 02408)</t>
  </si>
  <si>
    <t xml:space="preserve">     xvii) Evaluation cum Impact Study-NEC</t>
  </si>
  <si>
    <t xml:space="preserve">     xviii) Rashtriya Arogya Nidhi Scheme (A/C No 10017)</t>
  </si>
  <si>
    <t xml:space="preserve">     xix) DGHS</t>
  </si>
  <si>
    <t xml:space="preserve">                 e)  Audit Fees</t>
  </si>
  <si>
    <t>SN</t>
  </si>
  <si>
    <t>Assets Detail</t>
  </si>
  <si>
    <t>Purchase Amount</t>
  </si>
  <si>
    <t>Depreciation upto 31.03.2012</t>
  </si>
  <si>
    <t>Amount realized on buy back of Old Machine</t>
  </si>
  <si>
    <t>OT Table (Hospitech Model : 115 of 2006</t>
  </si>
  <si>
    <t>Date of Purchase/Installed</t>
  </si>
  <si>
    <t>10.07.2006</t>
  </si>
  <si>
    <t>Profit (+)/Loss (-) on Disposal of Assets</t>
  </si>
  <si>
    <t>Date of Depreciation from 01.04.2012 to 08.06.2012</t>
  </si>
  <si>
    <t>Compact Cystoscope (Make: Wolf)</t>
  </si>
  <si>
    <t>Date of Depreciation from 01.04.2012 to 22.06.2012</t>
  </si>
  <si>
    <t>Motic Digital Microscope (Model-DMBI-2004)</t>
  </si>
  <si>
    <t>Date of Depreciation from 01.04.2012 to 14.09.2012</t>
  </si>
  <si>
    <t>Video Endoscope System</t>
  </si>
  <si>
    <t>22.01.2001</t>
  </si>
  <si>
    <t xml:space="preserve">Net Value of Assets as on 08.06.2012 </t>
  </si>
  <si>
    <t>01.09.2006</t>
  </si>
  <si>
    <t>Net Value of Assets as on 22.06.2012</t>
  </si>
  <si>
    <t>01.10.2006</t>
  </si>
  <si>
    <t xml:space="preserve">Net Value of Assets as on 14.09.2012 </t>
  </si>
  <si>
    <t>Net Value of Assets as on 14.09.2012</t>
  </si>
  <si>
    <t>Depreciation from 10.07.2006 to 31.03.2007</t>
  </si>
  <si>
    <t>Depreciation from 01.04.2007 to 31.03.2008</t>
  </si>
  <si>
    <t>Depreciation from 01.04.2008 to 31.03.2009</t>
  </si>
  <si>
    <t>Depreciation from 01.04.2009 to 31.03.2010</t>
  </si>
  <si>
    <t>Depreciation from 01.04.2010 to 31.03.2011</t>
  </si>
  <si>
    <t>Depreciation from 01.04.2011 to 31.03.2012</t>
  </si>
  <si>
    <t>Depreciation from 01.04.2012 to 08.06.2012</t>
  </si>
  <si>
    <t xml:space="preserve">Particulars/Machine </t>
  </si>
  <si>
    <t>Date of Purchase</t>
  </si>
  <si>
    <t>Amount Purchase/Installed</t>
  </si>
  <si>
    <t>Depreciation from 01.09.2006 to 31.03.2007</t>
  </si>
  <si>
    <t>Depreciation from 01.04.2012 to 22.06.2012</t>
  </si>
  <si>
    <t>Depreciation from 01.10.2006 to 31.03.2007</t>
  </si>
  <si>
    <t>Depreciation from 01.04.2012 to 14.09.2012</t>
  </si>
  <si>
    <t>Depreciation from 22.01.2001 to 31.03.2002</t>
  </si>
  <si>
    <t>Depreciation from 01.04.2002 to 31.03.2003</t>
  </si>
  <si>
    <t>Depreciation from 01.04.2003 to 31.03.2004</t>
  </si>
  <si>
    <t>Depreciation from 01.04.2004 to 31.03.2005</t>
  </si>
  <si>
    <t>Depreciation from 01.04.2005 to 31.03.2006</t>
  </si>
  <si>
    <t>Depreciation from 01.04.2006 to 31.03.2007</t>
  </si>
  <si>
    <t xml:space="preserve">     Global Fund RD 9 HIV IDU</t>
  </si>
  <si>
    <t>w) Global Fund RD 9 HIV IDU</t>
  </si>
  <si>
    <t xml:space="preserve">                           n) Global Fund RD 9 HIV IDU</t>
  </si>
  <si>
    <t>PMR Medical College</t>
  </si>
  <si>
    <t>Control Bliness</t>
  </si>
  <si>
    <t>Total Depreciation</t>
  </si>
  <si>
    <t xml:space="preserve">    vii) Salary (Contract)</t>
  </si>
  <si>
    <t xml:space="preserve">     xiv)   LIC (Staffs)   </t>
  </si>
  <si>
    <t xml:space="preserve">     xv)   MCA (Lien)</t>
  </si>
  <si>
    <t xml:space="preserve">     xvii)   New Pension Scheme</t>
  </si>
  <si>
    <t xml:space="preserve">       ii) Others VAT</t>
  </si>
  <si>
    <t xml:space="preserve">       iii) Labour Cess</t>
  </si>
  <si>
    <t xml:space="preserve">       iv) Income Tax</t>
  </si>
  <si>
    <t xml:space="preserve">   v) Medical Equipment</t>
  </si>
  <si>
    <t xml:space="preserve">   vii) Excess on Capitalized [Medical Equipment]</t>
  </si>
  <si>
    <t xml:space="preserve">e)   Repair &amp; Maintenance </t>
  </si>
  <si>
    <t>f)  Rent, Rates and Taxes</t>
  </si>
  <si>
    <t xml:space="preserve">g)   Postage, Telephone and Communication Charges </t>
  </si>
  <si>
    <t>h)  Printing and Publication</t>
  </si>
  <si>
    <t>i)  Travelling and Conveyance Expenses (Conveyance, LTC &amp; TA/DA)</t>
  </si>
  <si>
    <t>j)  Expenses on Projects: Verbal Autopsy, Atlas, MIC, JSY, NCA &amp; ICMR, DBT, DGHS, &amp; Seminars &amp; Workshops , RANS,  GFATM, National Programme for Control of Blindness &amp; Evaluation Cum Impact Study, Global Fund RD 9 HIV IDU &amp; Others</t>
  </si>
  <si>
    <t>k)  Subscription Expenses/ Newspaper</t>
  </si>
  <si>
    <t>l)  Water Charges</t>
  </si>
  <si>
    <t>m)  Auditors Remuneration</t>
  </si>
  <si>
    <t>n)  Inspection Fees (Nursing College)</t>
  </si>
  <si>
    <t>o)   Professional Charges (Retainning fee &amp; Professional fees)</t>
  </si>
  <si>
    <t>p)  Provision for bad and Doubtful Debts/Advances</t>
  </si>
  <si>
    <t xml:space="preserve">q)  Fees &amp; Taxes </t>
  </si>
  <si>
    <t>r)  Packing Charges</t>
  </si>
  <si>
    <t>s)   Refund of Non-Govt Aid</t>
  </si>
  <si>
    <t xml:space="preserve">t)   Distribution Expenses </t>
  </si>
  <si>
    <t>u)   Electrical items</t>
  </si>
  <si>
    <t>v) Maintenance/Running of Sub Station</t>
  </si>
  <si>
    <t>w) Release of EMD</t>
  </si>
  <si>
    <t>x) Crockeries/Utensils</t>
  </si>
  <si>
    <t>y) Sitting fees</t>
  </si>
  <si>
    <t>z) Correction of Answer Scripts</t>
  </si>
  <si>
    <t>aa) Stationery</t>
  </si>
  <si>
    <t>ab) Advertisement and Publicity</t>
  </si>
  <si>
    <t>ac) Medical Expenses</t>
  </si>
  <si>
    <t>ad) [Nursing College]</t>
  </si>
  <si>
    <t xml:space="preserve">ae)  Others </t>
  </si>
  <si>
    <t>af) Entrance Exams [Post Graduade]</t>
  </si>
  <si>
    <t>ag) Rent for Clinical Duty</t>
  </si>
  <si>
    <t>ah) Cadavers Expenses</t>
  </si>
  <si>
    <t>ai) Children Education Allowance</t>
  </si>
  <si>
    <t>aj) Dietary Services</t>
  </si>
  <si>
    <t>ak) Overtime Allowance</t>
  </si>
  <si>
    <t>al) M/s HSCC</t>
  </si>
  <si>
    <t>am) Institute (Seminar &amp; Workshop)</t>
  </si>
  <si>
    <t xml:space="preserve">an)  Repairs and Maintenance : </t>
  </si>
  <si>
    <t>ao) General Maintenance</t>
  </si>
  <si>
    <t>ap) Loss on Sales of Fixed Assets</t>
  </si>
  <si>
    <t>aq) Learning &amp; Research Allowance</t>
  </si>
  <si>
    <t>ar) Annual Day Celebrarion</t>
  </si>
  <si>
    <t>as) Book/Thesis Grant</t>
  </si>
  <si>
    <t>at) Catering &amp; House Keeping Services</t>
  </si>
  <si>
    <t xml:space="preserve">       iii)  Uniform</t>
  </si>
  <si>
    <t xml:space="preserve">       iv)  Furnishing</t>
  </si>
  <si>
    <t xml:space="preserve">       v)  Vehicle Hiring Charges</t>
  </si>
  <si>
    <t xml:space="preserve">       vi)  POL</t>
  </si>
  <si>
    <t xml:space="preserve">       vii)  Teaching and Learning Material</t>
  </si>
  <si>
    <t xml:space="preserve">       viii)  Consultancy [HSCC]</t>
  </si>
  <si>
    <t xml:space="preserve">       ix)   MBBS/PG Expenses</t>
  </si>
  <si>
    <t>i) NEC Scheme</t>
  </si>
  <si>
    <t xml:space="preserve">                       vi)  LTC</t>
  </si>
  <si>
    <t xml:space="preserve">                       vii) Motor Cycle Advance</t>
  </si>
  <si>
    <t xml:space="preserve">                       viii) Computer</t>
  </si>
  <si>
    <t xml:space="preserve">                       ix) MIC Advance</t>
  </si>
  <si>
    <t xml:space="preserve">                       x) Miscellaneous</t>
  </si>
  <si>
    <t xml:space="preserve">                       xi) Inspection Fees ( Director,RIO, CEA )</t>
  </si>
  <si>
    <t xml:space="preserve">                       xii) Adv [M/s NICSI, New Delhi]</t>
  </si>
  <si>
    <t xml:space="preserve">                       xiii) MBBS(AIIMS, New Delhi )</t>
  </si>
  <si>
    <t xml:space="preserve">                       xiv) Advance ( AMC/CMC)</t>
  </si>
  <si>
    <t xml:space="preserve">                          iv) Advance to Dr. A.C. Phukan, MS, JSY</t>
  </si>
  <si>
    <t xml:space="preserve">                          v) Advance- ICMR</t>
  </si>
  <si>
    <t xml:space="preserve">     xx) Development Upgrading Infrastructure in MC </t>
  </si>
  <si>
    <t xml:space="preserve">     xxi) Security Deposits/ Earnest Money Deposits </t>
  </si>
  <si>
    <t xml:space="preserve">     xxii) Seminars &amp; Workshops</t>
  </si>
  <si>
    <t xml:space="preserve">     xxiii) National Programme for Control of Blindness</t>
  </si>
  <si>
    <t xml:space="preserve">     xxiv) National Service Scheme (A/C No. 30270100003144)</t>
  </si>
  <si>
    <t xml:space="preserve">     xxv) DBT Biotech R &amp; D Infra (A/C No. 30270200000043)</t>
  </si>
  <si>
    <t xml:space="preserve">     xxvi) DBT Twinning/Training Programme (A/C No. 30270100004474)</t>
  </si>
  <si>
    <t xml:space="preserve">     xxvii) Study of Hepatitis B- Virus (A/C 30270200000039)</t>
  </si>
  <si>
    <t xml:space="preserve">       i) Main Civil Works [Permanent Campus]</t>
  </si>
  <si>
    <t xml:space="preserve">                 f)  Salaries </t>
  </si>
  <si>
    <t xml:space="preserve">                 g) Security Charges</t>
  </si>
  <si>
    <t xml:space="preserve">                 h)  Salary (Contractual) </t>
  </si>
  <si>
    <t xml:space="preserve">                 i) Electricity Charges</t>
  </si>
  <si>
    <t xml:space="preserve">                 j) GPF Staff</t>
  </si>
  <si>
    <t xml:space="preserve">                 k) Hiring of Manpower</t>
  </si>
  <si>
    <t xml:space="preserve">                l) Consumable &amp; Medicines</t>
  </si>
  <si>
    <t xml:space="preserve">                n) Stationery</t>
  </si>
  <si>
    <t xml:space="preserve">                o) LIC (Staff)</t>
  </si>
  <si>
    <t xml:space="preserve">                p) NPS</t>
  </si>
  <si>
    <t xml:space="preserve">                q) Security Deposit / Retention Money</t>
  </si>
  <si>
    <t xml:space="preserve">                s) Student Nursing College, Mess Money Etc</t>
  </si>
  <si>
    <t xml:space="preserve">                t) Earnest Money Deposits</t>
  </si>
  <si>
    <t xml:space="preserve">                u) Security Deposits / Retention Money</t>
  </si>
  <si>
    <t xml:space="preserve">                v) Repair &amp; Maintenance [Equipments]</t>
  </si>
  <si>
    <t xml:space="preserve">                w) Vehicle Hiring Charges</t>
  </si>
  <si>
    <t xml:space="preserve">                x) Medical Equipments</t>
  </si>
  <si>
    <t xml:space="preserve">                y)  Books &amp; Journals</t>
  </si>
  <si>
    <t xml:space="preserve">                z)  Repair &amp; Maintenance [AMC/CMC]/Others</t>
  </si>
  <si>
    <t xml:space="preserve">                aa)  Furnishing</t>
  </si>
  <si>
    <t xml:space="preserve">                ab)  POL</t>
  </si>
  <si>
    <t xml:space="preserve">                ac) Dietary Services</t>
  </si>
  <si>
    <t xml:space="preserve">                 ad) JRD [Security Deposit]</t>
  </si>
  <si>
    <t xml:space="preserve">                 ae) Office Equipments</t>
  </si>
  <si>
    <t xml:space="preserve">                 af) Telephone Charges</t>
  </si>
  <si>
    <t xml:space="preserve">                 ag) Advertisement</t>
  </si>
  <si>
    <t xml:space="preserve">                 ah) Electrical Items</t>
  </si>
  <si>
    <t xml:space="preserve">                 ai) Recoveries form Suppliers</t>
  </si>
  <si>
    <t xml:space="preserve">                 aj) MCA ( Lien )</t>
  </si>
  <si>
    <t xml:space="preserve">                 ak) Learning Resourse Allowance</t>
  </si>
  <si>
    <t xml:space="preserve">                 al) Medical Expenses</t>
  </si>
  <si>
    <t xml:space="preserve">                 am) Newpaper/Subscriptions</t>
  </si>
  <si>
    <t xml:space="preserve">                 an) TA/DA</t>
  </si>
  <si>
    <t xml:space="preserve">                 ao) Teaching &amp; Learning Materials]</t>
  </si>
  <si>
    <t xml:space="preserve">                 ap) Children Education Allowance</t>
  </si>
  <si>
    <t xml:space="preserve">                 aq) New Pension Scheme- Govt Contribution</t>
  </si>
  <si>
    <t xml:space="preserve">                 ar) General Maintenance</t>
  </si>
  <si>
    <t xml:space="preserve">                 as) GSLI</t>
  </si>
  <si>
    <t xml:space="preserve">                 at) Crockeris Items</t>
  </si>
  <si>
    <t xml:space="preserve">                 au) Catering &amp; Housing Keeping Services</t>
  </si>
  <si>
    <t xml:space="preserve">                  f) Deposit (Dr.A.C. Bhuyan, Org Chairman )</t>
  </si>
  <si>
    <t xml:space="preserve">                  g) Seminar &amp; Workshops</t>
  </si>
  <si>
    <t xml:space="preserve">        ii Income from Investments made on account of funds</t>
  </si>
  <si>
    <t xml:space="preserve">        iii Other additions (specify nature)</t>
  </si>
  <si>
    <t>Closing Balance::</t>
  </si>
  <si>
    <t xml:space="preserve">     xxviii) Global Fund RD 9 HIV IDU</t>
  </si>
  <si>
    <t>Page 14 of 43</t>
  </si>
  <si>
    <t>Page 16 of 43</t>
  </si>
  <si>
    <t>Contd: page 25</t>
  </si>
  <si>
    <t>Page 32 of 43</t>
  </si>
  <si>
    <t>Page 33 of 43</t>
  </si>
  <si>
    <t>Page 34 of 43</t>
  </si>
  <si>
    <t>Page 35 of 43</t>
  </si>
  <si>
    <t xml:space="preserve">       v) Service Tax</t>
  </si>
  <si>
    <t xml:space="preserve">                         v) LIC [Lien]</t>
  </si>
  <si>
    <t xml:space="preserve">                         vi) NPS [Lien]</t>
  </si>
  <si>
    <t xml:space="preserve">                 av) Value Added Tax</t>
  </si>
  <si>
    <t xml:space="preserve">                   xxviii) Ms Sanchit Chakraborty, Hindi Translator</t>
  </si>
  <si>
    <t xml:space="preserve">                    xxix) Dr Lomtu Ronrang, Asst Prof</t>
  </si>
  <si>
    <t xml:space="preserve">                    xxx) Dr L Purnima Devi, Asst Prof</t>
  </si>
  <si>
    <t xml:space="preserve">                   xxxi) Dr Shikha, Asst Prof</t>
  </si>
  <si>
    <t xml:space="preserve">                  xxxii) Prof P Bhattacharyya, Professor</t>
  </si>
  <si>
    <t xml:space="preserve">                 xxxiii) Mr A Brajamohan Singh</t>
  </si>
  <si>
    <t>Calculation of Depreciation for the Fixed Assets: ( 2013 to 2014)</t>
  </si>
  <si>
    <t>SCHEDULE OF FIXED ASSETS 2013-2014</t>
  </si>
  <si>
    <t xml:space="preserve">                 aw) Office Maintenace</t>
  </si>
  <si>
    <t xml:space="preserve">                 ax) Repairs &amp; Maintenance (vehicles)</t>
  </si>
  <si>
    <t xml:space="preserve">                r) Pension Deposits</t>
  </si>
  <si>
    <t xml:space="preserve">                 ay) Pension Expenses</t>
  </si>
  <si>
    <t xml:space="preserve">                 az) Minor Civil Work</t>
  </si>
  <si>
    <t>`</t>
  </si>
  <si>
    <t xml:space="preserve">                aaa) Value Added Tax Projects</t>
  </si>
  <si>
    <t xml:space="preserve">                          vii) DBT Twinning Training Programme</t>
  </si>
  <si>
    <t xml:space="preserve">                  h) Hospital Revolving Fund</t>
  </si>
  <si>
    <t xml:space="preserve">     xxix) Hospital Revolving Fund (A/c No.</t>
  </si>
  <si>
    <t>Amount from 01.04.2011 -30.09.2013</t>
  </si>
  <si>
    <t>Amount from 01.10.2011 -31.03.2014</t>
  </si>
  <si>
    <t xml:space="preserve">              c) Medical Equipments- Project</t>
  </si>
  <si>
    <t xml:space="preserve">                            a)  Employees/Staff (Interest on MCA)</t>
  </si>
  <si>
    <t xml:space="preserve">                            b)  Employees/Staff (Interest on HBA)</t>
  </si>
  <si>
    <t>DBT R&amp;D INFRA</t>
  </si>
  <si>
    <r>
      <t xml:space="preserve">(Amount - </t>
    </r>
    <r>
      <rPr>
        <b/>
        <sz val="12"/>
        <rFont val="Rupee Foradian"/>
        <family val="2"/>
      </rPr>
      <t>`</t>
    </r>
    <r>
      <rPr>
        <b/>
        <sz val="12"/>
        <rFont val="Arial Narrow"/>
        <family val="2"/>
      </rPr>
      <t>)</t>
    </r>
  </si>
  <si>
    <t>Sales of Disposable Items</t>
  </si>
  <si>
    <t>RECEIPTS AND PAYMENT ACCOUNT FOR THE YEAR ENDED ON 31.03.2015</t>
  </si>
  <si>
    <t>SCHEDULES FORMING PART OF BALANCE SHEET AS AT 31.03.2015</t>
  </si>
  <si>
    <t>SCHEDULES FORMING PART OF INCOME AND EXPENDITURE ACCOUNT FOR THE YEAR ENDED 31.03.2015</t>
  </si>
  <si>
    <t>SCHEDULES FORMING PART OF THE INCOME AND EXPENDITURE ACCOUNT FOR THE YEAR ENDED 31.03.2015</t>
  </si>
  <si>
    <t>INCOME AND EXPENDITURE ACCOUNT FOR THE YEAR ENDED 31.03.2015</t>
  </si>
  <si>
    <t>BALANCE SHEET AS AT 31.03.2015</t>
  </si>
  <si>
    <t xml:space="preserve">                          viii) DBT Infra R &amp; D</t>
  </si>
  <si>
    <t xml:space="preserve">      iii) Sales of Prospectus</t>
  </si>
  <si>
    <t xml:space="preserve">     iv) NEHU Fees</t>
  </si>
  <si>
    <t xml:space="preserve">     xxxii) Miscellenious Receipt (A/c No.30270200000065)</t>
  </si>
  <si>
    <t xml:space="preserve">     xxxiii) State Level VDL  (A/c No.30270200000056)</t>
  </si>
  <si>
    <t xml:space="preserve">     xxxiv) Telemedicine Network  (A/c No.30270200000060)</t>
  </si>
  <si>
    <t xml:space="preserve">     Hospital Revolving Fund </t>
  </si>
  <si>
    <t>x) State Level VDL</t>
  </si>
  <si>
    <t>y) Telemedicine Network</t>
  </si>
  <si>
    <t xml:space="preserve">                           o) Hospital Revolving </t>
  </si>
  <si>
    <t xml:space="preserve">                          viv) Telemedicine Nerwork</t>
  </si>
  <si>
    <r>
      <t>(Amount -</t>
    </r>
    <r>
      <rPr>
        <b/>
        <sz val="12"/>
        <rFont val="Rupee Foradian"/>
        <family val="2"/>
      </rPr>
      <t xml:space="preserve"> `</t>
    </r>
    <r>
      <rPr>
        <b/>
        <sz val="12"/>
        <rFont val="Arial Narrow"/>
        <family val="2"/>
      </rPr>
      <t>)</t>
    </r>
  </si>
  <si>
    <t xml:space="preserve">     ix) BSNL</t>
  </si>
  <si>
    <t>av) Others Expenses :</t>
  </si>
  <si>
    <t xml:space="preserve">au) Training Expenses </t>
  </si>
  <si>
    <t xml:space="preserve">                aab) Children Education Advance (lien)</t>
  </si>
  <si>
    <t xml:space="preserve">                aac) NEMCOS</t>
  </si>
  <si>
    <t xml:space="preserve">                 xxxiv) Smt E J Bathew, EE</t>
  </si>
  <si>
    <t>receivable</t>
  </si>
  <si>
    <t xml:space="preserve">     xxxiv) Deafness Control Programme ICMR  (A/c No.)</t>
  </si>
  <si>
    <t xml:space="preserve">     xxxv) SBI MBBS A/c (A/c No 33828454188)</t>
  </si>
  <si>
    <t xml:space="preserve">             6)  SBI MBBS Sales of Prospectus </t>
  </si>
  <si>
    <t xml:space="preserve">     vi)   In Current Accounts (MawDD Branch)  (C A/c No : 1001)</t>
  </si>
  <si>
    <t xml:space="preserve">             ( S A/c No : 3027010000002391 )</t>
  </si>
  <si>
    <t xml:space="preserve">     xxvi) National Service Scheme (S A/C No. 30270100003144)</t>
  </si>
  <si>
    <t xml:space="preserve">             ( S A/c No : 30270100002388 )</t>
  </si>
  <si>
    <t xml:space="preserve">     xxiv)  Security Deposits/EMD  (C A/C No. 30270200000027)</t>
  </si>
  <si>
    <t xml:space="preserve">    16) Miscellenious Receipt A/C</t>
  </si>
  <si>
    <t xml:space="preserve">                aad) Overtime Allowances</t>
  </si>
  <si>
    <t>DBT TWINING PROG</t>
  </si>
  <si>
    <t>aa) Chikungunya Virus</t>
  </si>
  <si>
    <t xml:space="preserve">     xxxvi) Chikungunya Virus (A/c No 30270200000061 )</t>
  </si>
  <si>
    <t>II. Other Expenses :</t>
  </si>
  <si>
    <t xml:space="preserve">I. </t>
  </si>
  <si>
    <t>Opening Balances :</t>
  </si>
  <si>
    <t>II.</t>
  </si>
  <si>
    <t xml:space="preserve"> Grants Received:</t>
  </si>
  <si>
    <t xml:space="preserve">III. </t>
  </si>
  <si>
    <t>Income on Investments from :</t>
  </si>
  <si>
    <t xml:space="preserve">IV. </t>
  </si>
  <si>
    <t>Interest Received :</t>
  </si>
  <si>
    <t xml:space="preserve">V. </t>
  </si>
  <si>
    <t xml:space="preserve"> Other Income :  </t>
  </si>
  <si>
    <t xml:space="preserve">VI. </t>
  </si>
  <si>
    <t>Amount Borrowed :</t>
  </si>
  <si>
    <t xml:space="preserve">VII. </t>
  </si>
  <si>
    <t>Any other receipts (give details)</t>
  </si>
  <si>
    <t xml:space="preserve">VIII. </t>
  </si>
  <si>
    <t>Projects Expenditure &amp; Advances &amp; Others:</t>
  </si>
  <si>
    <t xml:space="preserve">IX.   </t>
  </si>
  <si>
    <t>Referral Patient [Outside Patient in Hospital] :</t>
  </si>
  <si>
    <t xml:space="preserve">ll. </t>
  </si>
  <si>
    <t>Seminar &amp; Workshops</t>
  </si>
  <si>
    <t>III.</t>
  </si>
  <si>
    <t xml:space="preserve">IV.   </t>
  </si>
  <si>
    <t>j) GFATM Project</t>
  </si>
  <si>
    <t>k) Evaluation cum Impact Study-NEC</t>
  </si>
  <si>
    <t>l) PMR Medical College</t>
  </si>
  <si>
    <t xml:space="preserve">m) Rashtriya Arogya Nidhi Scheme </t>
  </si>
  <si>
    <t>n) DGHS</t>
  </si>
  <si>
    <t>o) Nursing College [Assam &amp; Tripura SACS]</t>
  </si>
  <si>
    <t>p) Seminar &amp; Workshop</t>
  </si>
  <si>
    <t>r) National Service Scheme</t>
  </si>
  <si>
    <t>s) DBT Biotech R &amp; D Infra</t>
  </si>
  <si>
    <t>u) Study of Hepatitis B- Virus</t>
  </si>
  <si>
    <t>v) Global Fund RD 9 HIV IDU</t>
  </si>
  <si>
    <t>w) State Level VDL</t>
  </si>
  <si>
    <t>x) Telemedicine Network</t>
  </si>
  <si>
    <t>y) Deafness Control Programme ICMR</t>
  </si>
  <si>
    <t>z) Chikungunya Virus</t>
  </si>
  <si>
    <t>b) Licence Fee(S)</t>
  </si>
  <si>
    <t xml:space="preserve">c) Guest House </t>
  </si>
  <si>
    <t>d) MBBS/PG</t>
  </si>
  <si>
    <t>f) Nursing College</t>
  </si>
  <si>
    <t>g) Library</t>
  </si>
  <si>
    <t>h) Pharmacy</t>
  </si>
  <si>
    <t>i) Hospital Charges Received</t>
  </si>
  <si>
    <t>j) MBBS/PG Bond</t>
  </si>
  <si>
    <t>k) SBI MBBS Sales of Prospectus</t>
  </si>
  <si>
    <t xml:space="preserve">    x)    Nursing</t>
  </si>
  <si>
    <t xml:space="preserve">    xi)   Postage</t>
  </si>
  <si>
    <t xml:space="preserve">    xii)  Guest House</t>
  </si>
  <si>
    <t xml:space="preserve">    xiiii)  CMC/AMC Adv </t>
  </si>
  <si>
    <t xml:space="preserve">     i)      Child Education [P/R-Lien]</t>
  </si>
  <si>
    <t xml:space="preserve">     ii)     Festival (Lien)</t>
  </si>
  <si>
    <t xml:space="preserve">     iii)    GI/GSLIS/CGEHS</t>
  </si>
  <si>
    <t xml:space="preserve">     iv)    GPF (Lien)</t>
  </si>
  <si>
    <t xml:space="preserve">     v)     GPF (Instt)</t>
  </si>
  <si>
    <t xml:space="preserve">     vi)    GSLIS</t>
  </si>
  <si>
    <t xml:space="preserve">     vii)    HBA (Lien)</t>
  </si>
  <si>
    <t xml:space="preserve">     viii)    Interest on HBA (Lien)</t>
  </si>
  <si>
    <t xml:space="preserve">     xi)   JRD [Security Deposits]</t>
  </si>
  <si>
    <t xml:space="preserve">     x)     Lic Fees (L)</t>
  </si>
  <si>
    <t xml:space="preserve">     xi)      LIC (Lien)</t>
  </si>
  <si>
    <t xml:space="preserve">     xii)     LIC (Staffs)   </t>
  </si>
  <si>
    <t xml:space="preserve">     xiii)    MCA (Lien)</t>
  </si>
  <si>
    <t xml:space="preserve">     xiv)   MPSS [P/R-Lien]</t>
  </si>
  <si>
    <t xml:space="preserve">     xv)   New Pension Scheme</t>
  </si>
  <si>
    <t xml:space="preserve">     xvi)    Professional Tax</t>
  </si>
  <si>
    <t xml:space="preserve">     xvii)   Income Tax</t>
  </si>
  <si>
    <t xml:space="preserve">     xviii)  Computer (Lien) </t>
  </si>
  <si>
    <t xml:space="preserve">     xix) Welfare Fund [P/R-Lien]</t>
  </si>
  <si>
    <t xml:space="preserve">      v) Service Tax</t>
  </si>
  <si>
    <t xml:space="preserve">      vii) Hospital Revolving Fund</t>
  </si>
  <si>
    <t xml:space="preserve">     i)   LTC</t>
  </si>
  <si>
    <t xml:space="preserve">     ii)   Electricity </t>
  </si>
  <si>
    <t xml:space="preserve">     iii)   Telephone Charges</t>
  </si>
  <si>
    <t xml:space="preserve">     iv)   Stationery</t>
  </si>
  <si>
    <t xml:space="preserve">     v)   Miscellaneous</t>
  </si>
  <si>
    <t xml:space="preserve">     vi)   Medical Expenses</t>
  </si>
  <si>
    <t xml:space="preserve">     vii)   TA/DA</t>
  </si>
  <si>
    <t xml:space="preserve">     viii)   Advertisement</t>
  </si>
  <si>
    <t xml:space="preserve">     ix)   Electrical Items</t>
  </si>
  <si>
    <t xml:space="preserve">     x)   Postage &amp; Stamps</t>
  </si>
  <si>
    <t xml:space="preserve">     xi)   POL</t>
  </si>
  <si>
    <t xml:space="preserve">     xii)   Furnishing</t>
  </si>
  <si>
    <t xml:space="preserve">     xiii)   Vehicle Hiring Charges</t>
  </si>
  <si>
    <t xml:space="preserve">     xiv)   News Paper Charges</t>
  </si>
  <si>
    <t xml:space="preserve">     xv)   Crockeries/Utensils</t>
  </si>
  <si>
    <t xml:space="preserve">     xvi)   Uniform</t>
  </si>
  <si>
    <t xml:space="preserve">     xvii)   Inspection Fee</t>
  </si>
  <si>
    <t xml:space="preserve">     xix)   Medicines/Consumables</t>
  </si>
  <si>
    <t xml:space="preserve">     xx)   Conveyance Allowance</t>
  </si>
  <si>
    <t xml:space="preserve">     xxi)   Annual Day Celebration</t>
  </si>
  <si>
    <t xml:space="preserve">     xxii)   Cadavers Expenses</t>
  </si>
  <si>
    <t xml:space="preserve">     xxv)   Teaching &amp; Learning Materials</t>
  </si>
  <si>
    <t xml:space="preserve">     xxvii)   Maintenance/Running of Sub Station</t>
  </si>
  <si>
    <t xml:space="preserve">     xxviii)   MBBS/PG Expenses</t>
  </si>
  <si>
    <t xml:space="preserve">     xxx)   Dietary Services</t>
  </si>
  <si>
    <t xml:space="preserve">     xxxii)   Overtime Allowances</t>
  </si>
  <si>
    <t xml:space="preserve">     xxxiii)   Institute Seminar &amp; Workshop</t>
  </si>
  <si>
    <t xml:space="preserve">     xxxiv)  Learing Research Allowance</t>
  </si>
  <si>
    <t xml:space="preserve">     xxxv)   Audit Fee</t>
  </si>
  <si>
    <t xml:space="preserve">    xxxvi)   Catering &amp; House Keeping Services</t>
  </si>
  <si>
    <t xml:space="preserve">    xxxvii)   Training Expenses</t>
  </si>
  <si>
    <t xml:space="preserve">      i)   Office</t>
  </si>
  <si>
    <t xml:space="preserve">     ii)   Hospital</t>
  </si>
  <si>
    <t xml:space="preserve">     iv)  Others</t>
  </si>
  <si>
    <t xml:space="preserve">     v)   Equipment</t>
  </si>
  <si>
    <t xml:space="preserve">     vii)   IHF</t>
  </si>
  <si>
    <t xml:space="preserve">     viii)   Nursing College</t>
  </si>
  <si>
    <t xml:space="preserve">     ix)   Main Building</t>
  </si>
  <si>
    <t xml:space="preserve">     x)   AMC/CMC</t>
  </si>
  <si>
    <t xml:space="preserve">      i)   Books &amp; Journals</t>
  </si>
  <si>
    <t xml:space="preserve">     ii)   Computer/Peripherals</t>
  </si>
  <si>
    <t xml:space="preserve">     iii)   Electrical Installation</t>
  </si>
  <si>
    <t xml:space="preserve">     iv)   Furniture &amp; Fixtures</t>
  </si>
  <si>
    <t xml:space="preserve">     v)   Office Equipment</t>
  </si>
  <si>
    <t xml:space="preserve">     vi)   Sports Equipments</t>
  </si>
  <si>
    <t xml:space="preserve">     vii)  Tubewell &amp; Water Supply</t>
  </si>
  <si>
    <t xml:space="preserve">     viii)  Purchase of Vehicle</t>
  </si>
  <si>
    <t xml:space="preserve">     ix)   Medical Equipment</t>
  </si>
  <si>
    <t xml:space="preserve">     x)   Furniture &amp; Fixtures (MBBS)</t>
  </si>
  <si>
    <t xml:space="preserve">     xi)   Fixed Assets (GFATM Project)</t>
  </si>
  <si>
    <t xml:space="preserve">     xii)   Medical Equipment- Project</t>
  </si>
  <si>
    <t xml:space="preserve">     xiii)   Solar Plant</t>
  </si>
  <si>
    <t xml:space="preserve">     xiv)  Fixed Assets- ICMR</t>
  </si>
  <si>
    <t xml:space="preserve">     ii)   Meeting</t>
  </si>
  <si>
    <t xml:space="preserve">     iii)   TA</t>
  </si>
  <si>
    <t xml:space="preserve">     iv)   Medical</t>
  </si>
  <si>
    <t xml:space="preserve">     v)   Misc</t>
  </si>
  <si>
    <t xml:space="preserve">     viii)   Festival Advance</t>
  </si>
  <si>
    <t xml:space="preserve">     ix)   HBA</t>
  </si>
  <si>
    <t xml:space="preserve">     x)   MCA (Staff)</t>
  </si>
  <si>
    <t xml:space="preserve">     xi)   CMC/AMC Adv </t>
  </si>
  <si>
    <t xml:space="preserve">     i)   Child Education [P/R-Lien]</t>
  </si>
  <si>
    <t xml:space="preserve">     ii)   Festival (Lien)</t>
  </si>
  <si>
    <t xml:space="preserve">     iii)   GI/GSLIS/CGEHS</t>
  </si>
  <si>
    <t xml:space="preserve">     iv)   GPF (Lien)</t>
  </si>
  <si>
    <t xml:space="preserve">     v)   Recovery from Staff (Others)</t>
  </si>
  <si>
    <t xml:space="preserve">     vi)   NEMCOS ( P/R -Staff )</t>
  </si>
  <si>
    <t xml:space="preserve">     vii)   GPF (Instt)</t>
  </si>
  <si>
    <t xml:space="preserve">     viii)   GSLIS</t>
  </si>
  <si>
    <t xml:space="preserve">     ix)   HBA (Lien)</t>
  </si>
  <si>
    <t xml:space="preserve">     x)   Interest on HBA (Lien)</t>
  </si>
  <si>
    <t xml:space="preserve">     xii)   Lic Fees (L)</t>
  </si>
  <si>
    <t xml:space="preserve">     xiii)   LIC (Lien)</t>
  </si>
  <si>
    <t xml:space="preserve">     xvi)   MPSS [P/R-Lien]</t>
  </si>
  <si>
    <t xml:space="preserve">     xviii)   Proffessional Tax</t>
  </si>
  <si>
    <t xml:space="preserve">     xix)   Income Tax</t>
  </si>
  <si>
    <t xml:space="preserve">     xx)   Computer (Lien)</t>
  </si>
  <si>
    <t xml:space="preserve">     xxi)   Welfare Fund [P/R-Lien]</t>
  </si>
  <si>
    <t xml:space="preserve">     xxii)   NSA Staff Contribution</t>
  </si>
  <si>
    <t xml:space="preserve">     xxiii)   D.A Imp (Lien)</t>
  </si>
  <si>
    <t xml:space="preserve">     i)   Salary &amp; Wages</t>
  </si>
  <si>
    <t xml:space="preserve">     ii)   Audit Fees</t>
  </si>
  <si>
    <t xml:space="preserve">     iii)   Books &amp; Journals </t>
  </si>
  <si>
    <t xml:space="preserve">     iv)   Computer &amp; Peripherals</t>
  </si>
  <si>
    <t xml:space="preserve">     v)   Medicines &amp; Reagents</t>
  </si>
  <si>
    <t xml:space="preserve">     vi)   Electric Charges</t>
  </si>
  <si>
    <t xml:space="preserve">     vii)   Furnishing</t>
  </si>
  <si>
    <t xml:space="preserve">     viii)   Hirirng of Service [Man Power]</t>
  </si>
  <si>
    <t xml:space="preserve">     x)    Medical Equipments</t>
  </si>
  <si>
    <t xml:space="preserve">     ix)   Manning Sub - Station</t>
  </si>
  <si>
    <t xml:space="preserve">     xi)   Children Education Allowance</t>
  </si>
  <si>
    <t xml:space="preserve">     xii)   Office Maintenance</t>
  </si>
  <si>
    <t xml:space="preserve">     xiii)   Printing &amp; Stationery</t>
  </si>
  <si>
    <t xml:space="preserve">     xiv)   Telephone Charges</t>
  </si>
  <si>
    <t xml:space="preserve">     xv)   TA/DA Expenses</t>
  </si>
  <si>
    <t xml:space="preserve">     xvi)   Security Charges</t>
  </si>
  <si>
    <t xml:space="preserve">     xvii)   Vehicle Hiring Charges</t>
  </si>
  <si>
    <t xml:space="preserve">     xix)   Electricals Items</t>
  </si>
  <si>
    <t xml:space="preserve">     xx)   Advertisement &amp; Publicity</t>
  </si>
  <si>
    <t xml:space="preserve">     xxi)   Pension</t>
  </si>
  <si>
    <t xml:space="preserve">     xxii)   Repair &amp; Maintenance</t>
  </si>
  <si>
    <t xml:space="preserve">     xxv)   New Pension Scheme</t>
  </si>
  <si>
    <t xml:space="preserve">     xxvii)   Misc</t>
  </si>
  <si>
    <t xml:space="preserve">     xxviii)   POL</t>
  </si>
  <si>
    <t xml:space="preserve">     xxx)   AMC/CMC</t>
  </si>
  <si>
    <t xml:space="preserve">     xxxii)   Dietary Services</t>
  </si>
  <si>
    <t xml:space="preserve">     xxxiii)  Catering &amp; Housekeeping</t>
  </si>
  <si>
    <t xml:space="preserve">     i)   ICMR Project Expenses</t>
  </si>
  <si>
    <t xml:space="preserve">     ii)   Atlas [Cancer Project] Expenses</t>
  </si>
  <si>
    <t xml:space="preserve">     iii)   Janani Suraksha Yojana Expenses</t>
  </si>
  <si>
    <t xml:space="preserve">     iv)   GFATM Project </t>
  </si>
  <si>
    <t xml:space="preserve">     v)   DGHS Expenses</t>
  </si>
  <si>
    <t xml:space="preserve">     vi)   NEC Expenses</t>
  </si>
  <si>
    <t xml:space="preserve">     Vii)   Evaluation cum Impact Study Expenses</t>
  </si>
  <si>
    <t xml:space="preserve">     viii)   Rashtriya Arogya Nidhi Scheme</t>
  </si>
  <si>
    <t xml:space="preserve">     ix)   Seminar &amp; Workshops </t>
  </si>
  <si>
    <t xml:space="preserve">     x)   PMR Expenses</t>
  </si>
  <si>
    <t xml:space="preserve">     x)   DBT R &amp; D Infra</t>
  </si>
  <si>
    <t xml:space="preserve">     xi)   DBT- Twinning/Training Programme</t>
  </si>
  <si>
    <t xml:space="preserve">     xii)   Hepatitis B Virus</t>
  </si>
  <si>
    <t xml:space="preserve">     xiii)   Global Fund RD 9 HIV IDU</t>
  </si>
  <si>
    <t xml:space="preserve">     xiv)   National Sercice Schemes</t>
  </si>
  <si>
    <t xml:space="preserve">     xv)   Telemedicine Network</t>
  </si>
  <si>
    <t xml:space="preserve">     xvi)   Revolving Fund</t>
  </si>
  <si>
    <t xml:space="preserve">    vi)   National Control Aids</t>
  </si>
  <si>
    <t xml:space="preserve">    vii)   DGHS Advance</t>
  </si>
  <si>
    <t xml:space="preserve">    viii)   Evaluation cum Impact Study-NEC </t>
  </si>
  <si>
    <t xml:space="preserve">     x)   Seminar &amp; Workshops</t>
  </si>
  <si>
    <t xml:space="preserve">     xi)   MBBS/PG  </t>
  </si>
  <si>
    <t xml:space="preserve">     xii)   Nursing College Adv </t>
  </si>
  <si>
    <t xml:space="preserve">     xiii)   Refund Grant-Seminar &amp; Workshops</t>
  </si>
  <si>
    <t xml:space="preserve">     xiv)   ICMR</t>
  </si>
  <si>
    <t xml:space="preserve">     xv)   DBT Twining Training Programme</t>
  </si>
  <si>
    <t xml:space="preserve">     xvi)   DBT Infra R &amp; D</t>
  </si>
  <si>
    <t xml:space="preserve">     xvii)   Telemedicine Network</t>
  </si>
  <si>
    <t xml:space="preserve">     ii)   Pharmacy</t>
  </si>
  <si>
    <t xml:space="preserve">     iii)   Hospital Charges</t>
  </si>
  <si>
    <t xml:space="preserve">     iv)   Library</t>
  </si>
  <si>
    <t xml:space="preserve">     v)   GFATM</t>
  </si>
  <si>
    <t xml:space="preserve">     ii)   In Deposit Accounts </t>
  </si>
  <si>
    <t xml:space="preserve">     vii)   Atlas Project BoB-PB (C A/c No : 0020200000274 )</t>
  </si>
  <si>
    <t xml:space="preserve">     x)   National Aids Control  [NACO C A/c No : 10019]</t>
  </si>
  <si>
    <t xml:space="preserve">     xvii)   GFATM Project -Nursing College (S A/C No : 30270100000830)</t>
  </si>
  <si>
    <t xml:space="preserve">     xix)   Evaluation cum Impact Study-NEC </t>
  </si>
  <si>
    <t xml:space="preserve">     xxii)   Development Upgrading Infrastructure in MC </t>
  </si>
  <si>
    <t xml:space="preserve">     xxiii)   Seminar/Workshop (C A/C No. 30270200000029)</t>
  </si>
  <si>
    <t xml:space="preserve">     xxv)   National Programme for Control of Blindness (C A/C No. 30270200000032)</t>
  </si>
  <si>
    <t xml:space="preserve">     xxvi)   National Service Scheme (S A/C No. 30270100003144)</t>
  </si>
  <si>
    <t xml:space="preserve">     xxvii)   DBT Biotech R &amp; D Infra (C A/C No. 30270200000043)</t>
  </si>
  <si>
    <t xml:space="preserve">     xxviii)   DBT Twinning/Training Programme (S A/C No. 30270100004474)</t>
  </si>
  <si>
    <t xml:space="preserve">     xxix)   Study of Hepatitis B- Virus (C A/C 30270200000039)</t>
  </si>
  <si>
    <t xml:space="preserve">     xxx)   Global Fund RD 9 HIV IDU</t>
  </si>
  <si>
    <t xml:space="preserve">     xxxi)   Hospital Revolving Fund (S A/c No.30270100005127)</t>
  </si>
  <si>
    <t xml:space="preserve">     xxxii)   Miscellenious Receipt (C A/c No.30270200000065)</t>
  </si>
  <si>
    <t xml:space="preserve">     xxxiii)   State Level VDL  (C A/c No.30270200000056)</t>
  </si>
  <si>
    <t xml:space="preserve">     xxxiv)   Telemedicine Network  (C A/c No.30270200000060)</t>
  </si>
  <si>
    <t xml:space="preserve">     xxxiv)   Deafness Control Programme ICMR  (S A/c No3027020000051)</t>
  </si>
  <si>
    <t xml:space="preserve">     xxxv)   SBI MBBS A/c (A/c No 33828454188)</t>
  </si>
  <si>
    <t xml:space="preserve">     xxxvi)   Chikungunya Virus A/c (CA/c No 30270200000061)</t>
  </si>
  <si>
    <t xml:space="preserve">     x)   National Aids Control [NACO C  A/c No : 10019]</t>
  </si>
  <si>
    <t xml:space="preserve">     xvii)  GFATM Project  S (A/C No : 30270100000830)</t>
  </si>
  <si>
    <t xml:space="preserve">     xviii)   Evaluation cum Impact Study-NEC </t>
  </si>
  <si>
    <t xml:space="preserve">               ( S A/c No : 3027010000002391 )</t>
  </si>
  <si>
    <t xml:space="preserve">              ( A/c No : 30270100002388 )</t>
  </si>
  <si>
    <t xml:space="preserve">     xxiii)   Seminar/Workshop (A/C No. 30270200000029)</t>
  </si>
  <si>
    <t xml:space="preserve">     xxiv)   Security Deposits/EMD  (A/C No. 30270200000027)</t>
  </si>
  <si>
    <t xml:space="preserve">     xxv)   National Programme for Control of Blindness (A/C No. 30270200000032)</t>
  </si>
  <si>
    <t xml:space="preserve">     xxxiv)   Deafness Control Programme ICMR  (C A/c No 30270200000051)</t>
  </si>
  <si>
    <t xml:space="preserve">     xx)   NSA Staff </t>
  </si>
  <si>
    <t xml:space="preserve">     xxi)   Recovery from Staff (Others)</t>
  </si>
  <si>
    <t xml:space="preserve">     xxii)  NEMCOS ( P/R -Staff )</t>
  </si>
  <si>
    <t xml:space="preserve">     xxiii) Immediate Relief</t>
  </si>
  <si>
    <t xml:space="preserve">     i)   MIC </t>
  </si>
  <si>
    <t xml:space="preserve">     ii)   Nursing</t>
  </si>
  <si>
    <t xml:space="preserve">     iii)   DGHS</t>
  </si>
  <si>
    <t xml:space="preserve">     iv)   National Control Aids</t>
  </si>
  <si>
    <t xml:space="preserve">     v)   Evaluation cum Impact Study</t>
  </si>
  <si>
    <t xml:space="preserve">     vi)   JSY</t>
  </si>
  <si>
    <t xml:space="preserve">     vii)   Seminar &amp; Workshops</t>
  </si>
  <si>
    <t xml:space="preserve">     viii)   DGHS</t>
  </si>
  <si>
    <t xml:space="preserve">     ix)   MBBS/PG</t>
  </si>
  <si>
    <t xml:space="preserve">     x)   ICMR</t>
  </si>
  <si>
    <t xml:space="preserve">     xi)   DBT Infra R &amp; D</t>
  </si>
  <si>
    <t xml:space="preserve">     xii)   Telemedicine Network</t>
  </si>
  <si>
    <t xml:space="preserve">     xiii)   DBT Twining NE</t>
  </si>
  <si>
    <t>Contd/- page 14</t>
  </si>
  <si>
    <t>Contd/- page 15</t>
  </si>
  <si>
    <t>Contd/- page 16</t>
  </si>
  <si>
    <t>Page 36 of 43</t>
  </si>
  <si>
    <t xml:space="preserve">      ix)  Bank Charges</t>
  </si>
  <si>
    <t xml:space="preserve">     xxiv) D.A Imp (Lien) </t>
  </si>
  <si>
    <t xml:space="preserve">      ii)  Org Chairman</t>
  </si>
  <si>
    <t>h) Other Payments :</t>
  </si>
  <si>
    <t xml:space="preserve">                 1) Income from Sales</t>
  </si>
  <si>
    <t xml:space="preserve">                 2) Income from Services</t>
  </si>
  <si>
    <t xml:space="preserve">      e) Capital Work in Progress</t>
  </si>
  <si>
    <t xml:space="preserve">                 ii) Medical Equipment</t>
  </si>
  <si>
    <t xml:space="preserve">             e) Medical Equipments</t>
  </si>
  <si>
    <t xml:space="preserve">     xxi)   DGHS ( A/c No : 30270200000013</t>
  </si>
  <si>
    <t xml:space="preserve">     v)   ICMR/MIC [BoB-MDD] (S A/c No : 30270200000022)</t>
  </si>
  <si>
    <t xml:space="preserve">     i)   In Current Accounts (P B Branch) (C A/c No : 00020200000045 )</t>
  </si>
  <si>
    <t xml:space="preserve">     viii)   Nursing College (C A/c No : 30270200000002)</t>
  </si>
  <si>
    <t xml:space="preserve">     ix)   Referral Patient C [Outside Patient, A/c No : 30270200000014 ]</t>
  </si>
  <si>
    <t xml:space="preserve">     xi)   MBBS/ PG (C A/c No : 3027020000005)</t>
  </si>
  <si>
    <t xml:space="preserve">     xii)   Janani Suraksha Yojana (C A/c No : 3027020000008)</t>
  </si>
  <si>
    <t xml:space="preserve">     xiii)   Guest House (A/c No : 30270100000095)</t>
  </si>
  <si>
    <t xml:space="preserve">     xv)   Hospital Charges (A/c No : 30270100000099)</t>
  </si>
  <si>
    <t xml:space="preserve">     xiv)   Hospital Charges (A/c No : 302701600000099)</t>
  </si>
  <si>
    <t xml:space="preserve">     xv)   Pharmacy (A/c No : 30270100000565)</t>
  </si>
  <si>
    <t xml:space="preserve">     xvi)   Library (A/c No : 30270100000829)</t>
  </si>
  <si>
    <t xml:space="preserve">     xviii)   PMR Medical College(A/c No :  30270100002408)</t>
  </si>
  <si>
    <t xml:space="preserve">     xix)   PMR Medical College(A/c No :  30270100002408)</t>
  </si>
  <si>
    <t xml:space="preserve">     xx)   Rashtriya Arogya Nidhi Scheme ( C A/C No : 30270200000007)</t>
  </si>
  <si>
    <t xml:space="preserve">     xx)   Rashtriya Arogya Nidhi Scheme (S A/C No : 30270200000007)</t>
  </si>
  <si>
    <t>z) Deafness Control Programme ICMR  (A/c No.)</t>
  </si>
  <si>
    <t xml:space="preserve">    Less: Capital Expenditure/Depreciations recognised</t>
  </si>
  <si>
    <t xml:space="preserve">              during the year </t>
  </si>
  <si>
    <t>[J.K. Sarma]                                                                                                                                                                       I/c Financial Adviser                                                                                                                                                 NEIGRIHMS</t>
  </si>
  <si>
    <t>[J.K. Sarma]                                                                                                                                                                                                                I/c Financial Adviser                                                                                                                                                      NEIGRIHMS</t>
  </si>
  <si>
    <t>Page 7 of 43</t>
  </si>
  <si>
    <t>Page 6 of 43</t>
  </si>
  <si>
    <t>Page 5 of 43</t>
  </si>
  <si>
    <t>Page 4 of 43</t>
  </si>
  <si>
    <t>Page 3 of 43</t>
  </si>
  <si>
    <t>[J.K. Sarma]                                                                                                                                                                                                                                                  I/c Financial Adviser                                                                                                                                                                                                                NEIGRIHMS</t>
  </si>
  <si>
    <t>ab) Income Recognised on Depreciation of Fixed Assets  Created Out of Capital Grant</t>
  </si>
  <si>
    <t>Contd/- page 20</t>
  </si>
  <si>
    <t>Contd/- page 21</t>
  </si>
  <si>
    <t>Contd/- page 22</t>
  </si>
  <si>
    <t>Contd/- page 30</t>
  </si>
  <si>
    <t>Contd/- page 34</t>
  </si>
  <si>
    <t>Contd/- page 35</t>
  </si>
  <si>
    <t>Contd/- page 4</t>
  </si>
  <si>
    <t>Contd/- page 6</t>
  </si>
  <si>
    <t>Contd/- page 7</t>
  </si>
  <si>
    <t>Contd/- page 8</t>
  </si>
  <si>
    <t>Contd/- page 5</t>
  </si>
  <si>
    <t>[Prof. Vandana Raphael]                                                                                                                                                                                                                           I/c Director                                                                                                                                                                                                                                                   NEIGRIHMS</t>
  </si>
  <si>
    <t>[Prof. Vandana Raphael]                                                                                                                  I/c Director                                                                                                                                                             NEIGRIHMS</t>
  </si>
  <si>
    <t>[Prof. Vandana Raphael]                                                                                                                                                                     I/c Director                                                                                                                                                  NEIGRIHMS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</si>
</sst>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0%"/>
    <numFmt numFmtId="166" formatCode="0.00;[Red]0.00"/>
    <numFmt numFmtId="167" formatCode="#,##0.00_ ;[Red]\-#,##0.00\ "/>
  </numFmts>
  <fonts count="30">
    <font>
      <sz val="10"/>
      <name val="Arial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sz val="10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sz val="12"/>
      <color indexed="10"/>
      <name val="Arial Narrow"/>
      <family val="2"/>
    </font>
    <font>
      <sz val="12"/>
      <color indexed="57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2"/>
      <color rgb="FFFF0000"/>
      <name val="Arial Narrow"/>
      <family val="2"/>
    </font>
    <font>
      <b/>
      <sz val="12"/>
      <color theme="1"/>
      <name val="Arial Narrow"/>
      <family val="2"/>
    </font>
    <font>
      <b/>
      <sz val="15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 Narrow"/>
      <family val="2"/>
    </font>
    <font>
      <b/>
      <sz val="15"/>
      <color theme="1"/>
      <name val="Arial Narrow"/>
      <family val="2"/>
    </font>
    <font>
      <b/>
      <sz val="15"/>
      <color theme="1"/>
      <name val="Rupee Foradian"/>
      <family val="2"/>
    </font>
    <font>
      <b/>
      <sz val="20"/>
      <color rgb="FFFF0000"/>
      <name val="Arial Narrow"/>
      <family val="2"/>
    </font>
    <font>
      <sz val="12"/>
      <name val="Rupee Foradian"/>
      <family val="2"/>
    </font>
    <font>
      <b/>
      <sz val="12"/>
      <name val="Rupee Foradian"/>
      <family val="2"/>
    </font>
    <font>
      <sz val="9"/>
      <name val="Arial Narrow"/>
      <family val="2"/>
    </font>
    <font>
      <sz val="12"/>
      <color rgb="FFC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7">
    <xf numFmtId="0" fontId="0" fillId="0" borderId="0" xfId="0"/>
    <xf numFmtId="0" fontId="3" fillId="0" borderId="1" xfId="0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 wrapText="1"/>
    </xf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5" fillId="0" borderId="2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right"/>
    </xf>
    <xf numFmtId="2" fontId="5" fillId="0" borderId="2" xfId="0" applyNumberFormat="1" applyFont="1" applyBorder="1" applyAlignment="1">
      <alignment horizontal="right"/>
    </xf>
    <xf numFmtId="2" fontId="7" fillId="0" borderId="0" xfId="0" applyNumberFormat="1" applyFont="1"/>
    <xf numFmtId="0" fontId="5" fillId="0" borderId="0" xfId="0" applyFont="1" applyBorder="1"/>
    <xf numFmtId="2" fontId="5" fillId="0" borderId="0" xfId="0" applyNumberFormat="1" applyFont="1" applyBorder="1"/>
    <xf numFmtId="0" fontId="5" fillId="0" borderId="0" xfId="0" applyFont="1" applyBorder="1" applyAlignment="1">
      <alignment horizontal="center" wrapText="1"/>
    </xf>
    <xf numFmtId="2" fontId="7" fillId="0" borderId="2" xfId="0" applyNumberFormat="1" applyFont="1" applyBorder="1"/>
    <xf numFmtId="2" fontId="5" fillId="0" borderId="2" xfId="0" applyNumberFormat="1" applyFont="1" applyBorder="1"/>
    <xf numFmtId="2" fontId="7" fillId="0" borderId="2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5" fillId="0" borderId="0" xfId="0" applyFont="1"/>
    <xf numFmtId="2" fontId="5" fillId="0" borderId="4" xfId="0" applyNumberFormat="1" applyFont="1" applyBorder="1"/>
    <xf numFmtId="0" fontId="7" fillId="0" borderId="0" xfId="0" applyFont="1" applyFill="1"/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vertical="justify" wrapText="1"/>
    </xf>
    <xf numFmtId="164" fontId="7" fillId="0" borderId="2" xfId="1" applyFont="1" applyBorder="1" applyAlignment="1">
      <alignment horizontal="right"/>
    </xf>
    <xf numFmtId="164" fontId="7" fillId="0" borderId="2" xfId="1" applyFont="1" applyBorder="1"/>
    <xf numFmtId="164" fontId="7" fillId="0" borderId="2" xfId="1" applyFont="1" applyBorder="1" applyAlignment="1">
      <alignment horizontal="center"/>
    </xf>
    <xf numFmtId="164" fontId="5" fillId="0" borderId="2" xfId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0" fontId="5" fillId="0" borderId="4" xfId="0" applyFont="1" applyFill="1" applyBorder="1"/>
    <xf numFmtId="0" fontId="7" fillId="0" borderId="2" xfId="0" applyFont="1" applyFill="1" applyBorder="1" applyAlignment="1">
      <alignment horizontal="left"/>
    </xf>
    <xf numFmtId="2" fontId="7" fillId="0" borderId="2" xfId="1" applyNumberFormat="1" applyFont="1" applyFill="1" applyBorder="1"/>
    <xf numFmtId="164" fontId="5" fillId="0" borderId="2" xfId="1" applyFont="1" applyBorder="1"/>
    <xf numFmtId="164" fontId="5" fillId="0" borderId="4" xfId="1" applyFont="1" applyBorder="1" applyAlignment="1">
      <alignment horizontal="right"/>
    </xf>
    <xf numFmtId="0" fontId="3" fillId="0" borderId="0" xfId="0" applyFont="1" applyFill="1"/>
    <xf numFmtId="0" fontId="2" fillId="0" borderId="0" xfId="0" applyFont="1" applyFill="1"/>
    <xf numFmtId="2" fontId="2" fillId="0" borderId="0" xfId="0" applyNumberFormat="1" applyFont="1" applyFill="1"/>
    <xf numFmtId="2" fontId="3" fillId="0" borderId="0" xfId="0" applyNumberFormat="1" applyFont="1" applyFill="1"/>
    <xf numFmtId="0" fontId="3" fillId="0" borderId="6" xfId="0" applyFont="1" applyFill="1" applyBorder="1" applyAlignment="1">
      <alignment horizontal="right"/>
    </xf>
    <xf numFmtId="0" fontId="2" fillId="0" borderId="3" xfId="0" applyFont="1" applyFill="1" applyBorder="1"/>
    <xf numFmtId="9" fontId="2" fillId="0" borderId="2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2" fontId="2" fillId="0" borderId="0" xfId="0" applyNumberFormat="1" applyFont="1" applyFill="1" applyBorder="1" applyAlignment="1"/>
    <xf numFmtId="164" fontId="7" fillId="0" borderId="0" xfId="0" applyNumberFormat="1" applyFont="1"/>
    <xf numFmtId="2" fontId="5" fillId="0" borderId="0" xfId="0" applyNumberFormat="1" applyFont="1"/>
    <xf numFmtId="0" fontId="2" fillId="0" borderId="0" xfId="0" applyFont="1" applyFill="1" applyBorder="1"/>
    <xf numFmtId="2" fontId="2" fillId="0" borderId="1" xfId="0" applyNumberFormat="1" applyFont="1" applyFill="1" applyBorder="1" applyAlignment="1">
      <alignment horizontal="right"/>
    </xf>
    <xf numFmtId="2" fontId="2" fillId="0" borderId="0" xfId="0" applyNumberFormat="1" applyFont="1" applyFill="1" applyBorder="1"/>
    <xf numFmtId="0" fontId="2" fillId="0" borderId="0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13" xfId="0" applyFont="1" applyBorder="1" applyAlignment="1">
      <alignment horizontal="center" vertical="top"/>
    </xf>
    <xf numFmtId="0" fontId="2" fillId="0" borderId="16" xfId="0" applyFont="1" applyBorder="1"/>
    <xf numFmtId="2" fontId="2" fillId="0" borderId="0" xfId="0" applyNumberFormat="1" applyFont="1"/>
    <xf numFmtId="0" fontId="2" fillId="0" borderId="17" xfId="0" applyFont="1" applyBorder="1"/>
    <xf numFmtId="0" fontId="3" fillId="0" borderId="13" xfId="0" applyFont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 wrapText="1"/>
    </xf>
    <xf numFmtId="0" fontId="8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18" xfId="0" applyFont="1" applyBorder="1"/>
    <xf numFmtId="0" fontId="2" fillId="0" borderId="19" xfId="0" applyFont="1" applyBorder="1"/>
    <xf numFmtId="2" fontId="2" fillId="0" borderId="0" xfId="0" applyNumberFormat="1" applyFont="1" applyBorder="1"/>
    <xf numFmtId="0" fontId="2" fillId="0" borderId="20" xfId="0" applyFont="1" applyBorder="1"/>
    <xf numFmtId="2" fontId="2" fillId="0" borderId="0" xfId="0" applyNumberFormat="1" applyFont="1" applyBorder="1" applyAlignment="1">
      <alignment horizontal="center"/>
    </xf>
    <xf numFmtId="0" fontId="2" fillId="0" borderId="21" xfId="0" applyFont="1" applyBorder="1"/>
    <xf numFmtId="0" fontId="3" fillId="0" borderId="18" xfId="0" applyFont="1" applyBorder="1" applyAlignment="1">
      <alignment horizontal="center"/>
    </xf>
    <xf numFmtId="0" fontId="3" fillId="0" borderId="0" xfId="0" applyFont="1" applyBorder="1"/>
    <xf numFmtId="2" fontId="3" fillId="0" borderId="0" xfId="0" applyNumberFormat="1" applyFont="1" applyBorder="1"/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3" xfId="0" applyFont="1" applyBorder="1"/>
    <xf numFmtId="0" fontId="2" fillId="0" borderId="15" xfId="0" applyFont="1" applyBorder="1" applyAlignment="1">
      <alignment horizontal="center"/>
    </xf>
    <xf numFmtId="0" fontId="2" fillId="0" borderId="14" xfId="0" applyFont="1" applyBorder="1"/>
    <xf numFmtId="0" fontId="2" fillId="0" borderId="0" xfId="0" applyFont="1" applyBorder="1" applyAlignment="1">
      <alignment wrapText="1"/>
    </xf>
    <xf numFmtId="0" fontId="3" fillId="0" borderId="20" xfId="0" applyFont="1" applyBorder="1"/>
    <xf numFmtId="0" fontId="3" fillId="0" borderId="21" xfId="0" applyFont="1" applyBorder="1"/>
    <xf numFmtId="0" fontId="4" fillId="0" borderId="0" xfId="0" applyFont="1" applyBorder="1"/>
    <xf numFmtId="0" fontId="16" fillId="0" borderId="1" xfId="0" applyFont="1" applyFill="1" applyBorder="1" applyAlignment="1">
      <alignment horizontal="right"/>
    </xf>
    <xf numFmtId="9" fontId="2" fillId="0" borderId="2" xfId="0" applyNumberFormat="1" applyFont="1" applyFill="1" applyBorder="1"/>
    <xf numFmtId="0" fontId="2" fillId="0" borderId="10" xfId="0" applyFont="1" applyFill="1" applyBorder="1" applyAlignment="1">
      <alignment horizontal="right"/>
    </xf>
    <xf numFmtId="9" fontId="2" fillId="0" borderId="5" xfId="0" applyNumberFormat="1" applyFont="1" applyFill="1" applyBorder="1"/>
    <xf numFmtId="0" fontId="3" fillId="0" borderId="13" xfId="0" applyFont="1" applyFill="1" applyBorder="1" applyAlignment="1">
      <alignment horizontal="center" vertical="center" wrapText="1"/>
    </xf>
    <xf numFmtId="0" fontId="2" fillId="0" borderId="29" xfId="0" applyFont="1" applyFill="1" applyBorder="1"/>
    <xf numFmtId="2" fontId="2" fillId="0" borderId="29" xfId="0" applyNumberFormat="1" applyFont="1" applyFill="1" applyBorder="1"/>
    <xf numFmtId="2" fontId="3" fillId="0" borderId="29" xfId="0" applyNumberFormat="1" applyFont="1" applyFill="1" applyBorder="1" applyAlignment="1">
      <alignment horizontal="right"/>
    </xf>
    <xf numFmtId="2" fontId="2" fillId="0" borderId="29" xfId="0" applyNumberFormat="1" applyFont="1" applyFill="1" applyBorder="1" applyAlignment="1">
      <alignment horizontal="right"/>
    </xf>
    <xf numFmtId="0" fontId="2" fillId="0" borderId="30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/>
    <xf numFmtId="166" fontId="2" fillId="0" borderId="0" xfId="0" applyNumberFormat="1" applyFont="1"/>
    <xf numFmtId="166" fontId="18" fillId="0" borderId="0" xfId="0" applyNumberFormat="1" applyFont="1"/>
    <xf numFmtId="2" fontId="18" fillId="0" borderId="0" xfId="0" applyNumberFormat="1" applyFont="1"/>
    <xf numFmtId="2" fontId="3" fillId="0" borderId="0" xfId="0" applyNumberFormat="1" applyFont="1"/>
    <xf numFmtId="2" fontId="11" fillId="0" borderId="0" xfId="0" applyNumberFormat="1" applyFont="1"/>
    <xf numFmtId="2" fontId="10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2" fillId="0" borderId="10" xfId="0" applyNumberFormat="1" applyFont="1" applyBorder="1"/>
    <xf numFmtId="0" fontId="2" fillId="0" borderId="5" xfId="0" applyFont="1" applyBorder="1"/>
    <xf numFmtId="2" fontId="2" fillId="0" borderId="5" xfId="0" applyNumberFormat="1" applyFont="1" applyBorder="1"/>
    <xf numFmtId="2" fontId="2" fillId="0" borderId="11" xfId="0" applyNumberFormat="1" applyFont="1" applyBorder="1"/>
    <xf numFmtId="2" fontId="2" fillId="0" borderId="6" xfId="0" applyNumberFormat="1" applyFont="1" applyBorder="1"/>
    <xf numFmtId="0" fontId="2" fillId="0" borderId="3" xfId="0" applyFont="1" applyBorder="1"/>
    <xf numFmtId="2" fontId="2" fillId="0" borderId="3" xfId="0" applyNumberFormat="1" applyFont="1" applyBorder="1"/>
    <xf numFmtId="2" fontId="2" fillId="0" borderId="7" xfId="0" applyNumberFormat="1" applyFont="1" applyBorder="1"/>
    <xf numFmtId="0" fontId="2" fillId="0" borderId="38" xfId="0" applyFont="1" applyBorder="1" applyAlignment="1">
      <alignment horizontal="center"/>
    </xf>
    <xf numFmtId="1" fontId="2" fillId="0" borderId="0" xfId="0" applyNumberFormat="1" applyFont="1"/>
    <xf numFmtId="0" fontId="19" fillId="0" borderId="0" xfId="0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2" fontId="22" fillId="0" borderId="0" xfId="0" applyNumberFormat="1" applyFont="1"/>
    <xf numFmtId="0" fontId="23" fillId="0" borderId="0" xfId="0" applyFont="1" applyAlignment="1">
      <alignment horizontal="center"/>
    </xf>
    <xf numFmtId="2" fontId="23" fillId="0" borderId="0" xfId="0" applyNumberFormat="1" applyFont="1"/>
    <xf numFmtId="0" fontId="2" fillId="0" borderId="16" xfId="0" applyFont="1" applyBorder="1" applyAlignment="1">
      <alignment horizontal="justify" vertical="top" wrapText="1"/>
    </xf>
    <xf numFmtId="0" fontId="2" fillId="0" borderId="14" xfId="0" applyFont="1" applyBorder="1" applyAlignment="1">
      <alignment horizontal="justify" vertical="top"/>
    </xf>
    <xf numFmtId="0" fontId="2" fillId="0" borderId="14" xfId="0" applyFont="1" applyBorder="1" applyAlignment="1">
      <alignment horizontal="justify" vertical="top" wrapText="1"/>
    </xf>
    <xf numFmtId="0" fontId="2" fillId="0" borderId="17" xfId="0" applyFont="1" applyBorder="1" applyAlignment="1">
      <alignment horizontal="justify" vertical="top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wrapText="1"/>
    </xf>
    <xf numFmtId="0" fontId="3" fillId="0" borderId="13" xfId="0" applyFont="1" applyBorder="1"/>
    <xf numFmtId="0" fontId="2" fillId="0" borderId="3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8" fillId="0" borderId="12" xfId="0" applyFont="1" applyBorder="1" applyAlignment="1">
      <alignment horizontal="center"/>
    </xf>
    <xf numFmtId="2" fontId="18" fillId="0" borderId="24" xfId="0" applyNumberFormat="1" applyFont="1" applyBorder="1" applyAlignment="1">
      <alignment horizontal="center"/>
    </xf>
    <xf numFmtId="2" fontId="18" fillId="0" borderId="25" xfId="0" applyNumberFormat="1" applyFont="1" applyBorder="1" applyAlignment="1">
      <alignment horizontal="center"/>
    </xf>
    <xf numFmtId="0" fontId="2" fillId="0" borderId="2" xfId="0" applyFont="1" applyBorder="1"/>
    <xf numFmtId="2" fontId="2" fillId="0" borderId="2" xfId="0" applyNumberFormat="1" applyFont="1" applyBorder="1"/>
    <xf numFmtId="0" fontId="2" fillId="0" borderId="9" xfId="0" applyFont="1" applyBorder="1"/>
    <xf numFmtId="2" fontId="2" fillId="0" borderId="9" xfId="0" applyNumberFormat="1" applyFont="1" applyBorder="1"/>
    <xf numFmtId="2" fontId="3" fillId="0" borderId="24" xfId="0" applyNumberFormat="1" applyFont="1" applyBorder="1"/>
    <xf numFmtId="2" fontId="3" fillId="0" borderId="25" xfId="0" applyNumberFormat="1" applyFont="1" applyBorder="1"/>
    <xf numFmtId="0" fontId="18" fillId="0" borderId="35" xfId="0" applyFont="1" applyBorder="1" applyAlignment="1">
      <alignment horizontal="center"/>
    </xf>
    <xf numFmtId="2" fontId="18" fillId="0" borderId="36" xfId="0" applyNumberFormat="1" applyFont="1" applyBorder="1" applyAlignment="1">
      <alignment horizontal="center"/>
    </xf>
    <xf numFmtId="2" fontId="18" fillId="0" borderId="37" xfId="0" applyNumberFormat="1" applyFont="1" applyBorder="1" applyAlignment="1">
      <alignment horizontal="center"/>
    </xf>
    <xf numFmtId="0" fontId="2" fillId="0" borderId="1" xfId="0" applyFont="1" applyBorder="1"/>
    <xf numFmtId="2" fontId="2" fillId="0" borderId="8" xfId="0" applyNumberFormat="1" applyFont="1" applyBorder="1"/>
    <xf numFmtId="0" fontId="2" fillId="0" borderId="10" xfId="0" applyFont="1" applyBorder="1"/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>
      <alignment horizontal="justify" vertical="top"/>
    </xf>
    <xf numFmtId="0" fontId="3" fillId="0" borderId="49" xfId="0" applyFont="1" applyBorder="1" applyAlignment="1">
      <alignment horizontal="center" vertical="top"/>
    </xf>
    <xf numFmtId="0" fontId="2" fillId="0" borderId="46" xfId="0" applyFont="1" applyBorder="1"/>
    <xf numFmtId="0" fontId="3" fillId="0" borderId="47" xfId="0" applyFont="1" applyBorder="1" applyAlignment="1">
      <alignment horizontal="center" vertical="top" wrapText="1"/>
    </xf>
    <xf numFmtId="0" fontId="2" fillId="0" borderId="47" xfId="0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2" fontId="2" fillId="0" borderId="16" xfId="0" applyNumberFormat="1" applyFont="1" applyBorder="1" applyAlignment="1">
      <alignment horizontal="right" vertical="top"/>
    </xf>
    <xf numFmtId="2" fontId="2" fillId="0" borderId="15" xfId="0" applyNumberFormat="1" applyFont="1" applyBorder="1" applyAlignment="1">
      <alignment horizontal="center"/>
    </xf>
    <xf numFmtId="0" fontId="3" fillId="0" borderId="0" xfId="0" applyFont="1" applyBorder="1" applyAlignment="1">
      <alignment horizontal="justify" vertical="top" wrapText="1"/>
    </xf>
    <xf numFmtId="0" fontId="3" fillId="0" borderId="38" xfId="0" applyFont="1" applyBorder="1" applyAlignment="1">
      <alignment horizontal="justify" vertical="top"/>
    </xf>
    <xf numFmtId="0" fontId="3" fillId="0" borderId="48" xfId="0" applyFont="1" applyBorder="1" applyAlignment="1">
      <alignment horizontal="center" vertical="top" wrapText="1"/>
    </xf>
    <xf numFmtId="2" fontId="2" fillId="0" borderId="38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3" fillId="0" borderId="44" xfId="0" applyFont="1" applyBorder="1"/>
    <xf numFmtId="2" fontId="3" fillId="0" borderId="38" xfId="0" applyNumberFormat="1" applyFont="1" applyBorder="1"/>
    <xf numFmtId="0" fontId="3" fillId="0" borderId="3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2" fontId="2" fillId="0" borderId="49" xfId="0" applyNumberFormat="1" applyFont="1" applyBorder="1"/>
    <xf numFmtId="0" fontId="2" fillId="0" borderId="49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2" fontId="2" fillId="0" borderId="29" xfId="0" applyNumberFormat="1" applyFont="1" applyBorder="1"/>
    <xf numFmtId="0" fontId="3" fillId="0" borderId="3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" fontId="2" fillId="0" borderId="29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10" xfId="0" applyFont="1" applyBorder="1" applyAlignment="1">
      <alignment wrapText="1"/>
    </xf>
    <xf numFmtId="2" fontId="2" fillId="0" borderId="30" xfId="0" applyNumberFormat="1" applyFont="1" applyBorder="1"/>
    <xf numFmtId="0" fontId="2" fillId="0" borderId="27" xfId="0" applyFont="1" applyBorder="1" applyAlignment="1">
      <alignment horizontal="left" vertical="center" wrapText="1"/>
    </xf>
    <xf numFmtId="0" fontId="2" fillId="0" borderId="29" xfId="0" applyFont="1" applyBorder="1"/>
    <xf numFmtId="0" fontId="3" fillId="0" borderId="24" xfId="0" applyFont="1" applyBorder="1" applyAlignment="1">
      <alignment horizontal="center" vertical="top" wrapText="1"/>
    </xf>
    <xf numFmtId="0" fontId="2" fillId="0" borderId="27" xfId="0" applyFont="1" applyBorder="1" applyAlignment="1">
      <alignment vertical="center" wrapText="1"/>
    </xf>
    <xf numFmtId="0" fontId="2" fillId="0" borderId="27" xfId="0" applyFont="1" applyBorder="1" applyAlignment="1">
      <alignment wrapText="1"/>
    </xf>
    <xf numFmtId="2" fontId="2" fillId="0" borderId="29" xfId="0" applyNumberFormat="1" applyFont="1" applyBorder="1" applyAlignment="1">
      <alignment horizontal="right"/>
    </xf>
    <xf numFmtId="9" fontId="2" fillId="0" borderId="0" xfId="0" applyNumberFormat="1" applyFont="1" applyFill="1"/>
    <xf numFmtId="0" fontId="2" fillId="0" borderId="15" xfId="0" applyFont="1" applyBorder="1" applyAlignment="1">
      <alignment horizontal="center" vertical="center"/>
    </xf>
    <xf numFmtId="4" fontId="2" fillId="0" borderId="20" xfId="0" applyNumberFormat="1" applyFont="1" applyFill="1" applyBorder="1" applyAlignment="1">
      <alignment horizontal="left"/>
    </xf>
    <xf numFmtId="0" fontId="26" fillId="0" borderId="0" xfId="0" applyFont="1" applyFill="1"/>
    <xf numFmtId="9" fontId="2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2" fillId="0" borderId="0" xfId="0" applyNumberFormat="1" applyFont="1"/>
    <xf numFmtId="4" fontId="2" fillId="0" borderId="0" xfId="0" applyNumberFormat="1" applyFont="1" applyFill="1" applyBorder="1"/>
    <xf numFmtId="4" fontId="3" fillId="0" borderId="13" xfId="0" applyNumberFormat="1" applyFont="1" applyFill="1" applyBorder="1"/>
    <xf numFmtId="4" fontId="2" fillId="0" borderId="0" xfId="0" applyNumberFormat="1" applyFont="1" applyFill="1"/>
    <xf numFmtId="2" fontId="17" fillId="0" borderId="0" xfId="0" applyNumberFormat="1" applyFont="1"/>
    <xf numFmtId="2" fontId="2" fillId="3" borderId="0" xfId="0" applyNumberFormat="1" applyFont="1" applyFill="1"/>
    <xf numFmtId="2" fontId="17" fillId="3" borderId="0" xfId="0" applyNumberFormat="1" applyFont="1" applyFill="1"/>
    <xf numFmtId="4" fontId="2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wrapText="1"/>
    </xf>
    <xf numFmtId="4" fontId="3" fillId="0" borderId="13" xfId="0" applyNumberFormat="1" applyFont="1" applyFill="1" applyBorder="1" applyAlignment="1">
      <alignment horizontal="center"/>
    </xf>
    <xf numFmtId="4" fontId="2" fillId="0" borderId="16" xfId="0" applyNumberFormat="1" applyFont="1" applyFill="1" applyBorder="1" applyAlignment="1">
      <alignment horizontal="center"/>
    </xf>
    <xf numFmtId="4" fontId="2" fillId="0" borderId="14" xfId="0" applyNumberFormat="1" applyFont="1" applyFill="1" applyBorder="1" applyAlignment="1">
      <alignment horizontal="center"/>
    </xf>
    <xf numFmtId="4" fontId="2" fillId="0" borderId="33" xfId="0" applyNumberFormat="1" applyFont="1" applyFill="1" applyBorder="1" applyAlignment="1">
      <alignment horizontal="center"/>
    </xf>
    <xf numFmtId="4" fontId="2" fillId="0" borderId="34" xfId="0" applyNumberFormat="1" applyFont="1" applyFill="1" applyBorder="1" applyAlignment="1">
      <alignment horizontal="center"/>
    </xf>
    <xf numFmtId="4" fontId="2" fillId="0" borderId="3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3" fillId="0" borderId="40" xfId="0" applyNumberFormat="1" applyFont="1" applyFill="1" applyBorder="1" applyAlignment="1">
      <alignment horizontal="center"/>
    </xf>
    <xf numFmtId="4" fontId="2" fillId="0" borderId="38" xfId="0" applyNumberFormat="1" applyFont="1" applyFill="1" applyBorder="1" applyAlignment="1">
      <alignment horizontal="right"/>
    </xf>
    <xf numFmtId="4" fontId="2" fillId="0" borderId="14" xfId="0" applyNumberFormat="1" applyFont="1" applyFill="1" applyBorder="1" applyAlignment="1">
      <alignment horizontal="right"/>
    </xf>
    <xf numFmtId="4" fontId="2" fillId="0" borderId="33" xfId="0" applyNumberFormat="1" applyFont="1" applyFill="1" applyBorder="1" applyAlignment="1">
      <alignment horizontal="right"/>
    </xf>
    <xf numFmtId="4" fontId="2" fillId="0" borderId="34" xfId="0" applyNumberFormat="1" applyFont="1" applyFill="1" applyBorder="1" applyAlignment="1">
      <alignment horizontal="right"/>
    </xf>
    <xf numFmtId="4" fontId="2" fillId="0" borderId="17" xfId="0" applyNumberFormat="1" applyFont="1" applyFill="1" applyBorder="1" applyAlignment="1">
      <alignment horizontal="right"/>
    </xf>
    <xf numFmtId="4" fontId="2" fillId="0" borderId="43" xfId="0" applyNumberFormat="1" applyFont="1" applyFill="1" applyBorder="1"/>
    <xf numFmtId="4" fontId="3" fillId="0" borderId="41" xfId="0" applyNumberFormat="1" applyFont="1" applyFill="1" applyBorder="1"/>
    <xf numFmtId="4" fontId="12" fillId="0" borderId="0" xfId="0" applyNumberFormat="1" applyFont="1" applyFill="1" applyBorder="1" applyAlignment="1">
      <alignment horizontal="center" wrapText="1"/>
    </xf>
    <xf numFmtId="4" fontId="13" fillId="0" borderId="13" xfId="0" applyNumberFormat="1" applyFont="1" applyFill="1" applyBorder="1" applyAlignment="1">
      <alignment horizontal="center"/>
    </xf>
    <xf numFmtId="4" fontId="12" fillId="0" borderId="16" xfId="0" applyNumberFormat="1" applyFont="1" applyFill="1" applyBorder="1" applyAlignment="1">
      <alignment horizontal="center"/>
    </xf>
    <xf numFmtId="4" fontId="12" fillId="0" borderId="33" xfId="0" applyNumberFormat="1" applyFont="1" applyFill="1" applyBorder="1" applyAlignment="1">
      <alignment horizontal="center"/>
    </xf>
    <xf numFmtId="4" fontId="12" fillId="0" borderId="34" xfId="0" applyNumberFormat="1" applyFont="1" applyFill="1" applyBorder="1" applyAlignment="1">
      <alignment horizontal="center"/>
    </xf>
    <xf numFmtId="4" fontId="12" fillId="0" borderId="31" xfId="0" applyNumberFormat="1" applyFont="1" applyFill="1" applyBorder="1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4" fontId="13" fillId="0" borderId="40" xfId="0" applyNumberFormat="1" applyFont="1" applyFill="1" applyBorder="1" applyAlignment="1">
      <alignment horizontal="center"/>
    </xf>
    <xf numFmtId="4" fontId="2" fillId="0" borderId="38" xfId="0" applyNumberFormat="1" applyFont="1" applyFill="1" applyBorder="1"/>
    <xf numFmtId="4" fontId="2" fillId="0" borderId="14" xfId="0" applyNumberFormat="1" applyFont="1" applyFill="1" applyBorder="1"/>
    <xf numFmtId="4" fontId="2" fillId="0" borderId="33" xfId="0" applyNumberFormat="1" applyFont="1" applyFill="1" applyBorder="1"/>
    <xf numFmtId="4" fontId="13" fillId="0" borderId="13" xfId="0" applyNumberFormat="1" applyFont="1" applyFill="1" applyBorder="1"/>
    <xf numFmtId="4" fontId="12" fillId="0" borderId="0" xfId="0" applyNumberFormat="1" applyFont="1" applyFill="1" applyBorder="1"/>
    <xf numFmtId="4" fontId="12" fillId="0" borderId="0" xfId="0" applyNumberFormat="1" applyFont="1" applyFill="1"/>
    <xf numFmtId="4" fontId="2" fillId="0" borderId="33" xfId="1" applyNumberFormat="1" applyFont="1" applyFill="1" applyBorder="1" applyAlignment="1">
      <alignment horizontal="center"/>
    </xf>
    <xf numFmtId="4" fontId="2" fillId="0" borderId="15" xfId="0" applyNumberFormat="1" applyFont="1" applyFill="1" applyBorder="1"/>
    <xf numFmtId="4" fontId="2" fillId="0" borderId="19" xfId="0" applyNumberFormat="1" applyFont="1" applyFill="1" applyBorder="1"/>
    <xf numFmtId="4" fontId="2" fillId="0" borderId="20" xfId="0" applyNumberFormat="1" applyFont="1" applyFill="1" applyBorder="1"/>
    <xf numFmtId="4" fontId="2" fillId="0" borderId="20" xfId="0" applyNumberFormat="1" applyFont="1" applyFill="1" applyBorder="1" applyAlignment="1">
      <alignment horizontal="center"/>
    </xf>
    <xf numFmtId="4" fontId="2" fillId="0" borderId="14" xfId="1" applyNumberFormat="1" applyFont="1" applyFill="1" applyBorder="1" applyAlignment="1">
      <alignment horizontal="center"/>
    </xf>
    <xf numFmtId="4" fontId="2" fillId="0" borderId="21" xfId="0" applyNumberFormat="1" applyFont="1" applyFill="1" applyBorder="1"/>
    <xf numFmtId="4" fontId="3" fillId="0" borderId="31" xfId="0" applyNumberFormat="1" applyFont="1" applyFill="1" applyBorder="1"/>
    <xf numFmtId="4" fontId="3" fillId="0" borderId="58" xfId="0" applyNumberFormat="1" applyFont="1" applyFill="1" applyBorder="1" applyAlignment="1">
      <alignment horizontal="center"/>
    </xf>
    <xf numFmtId="4" fontId="2" fillId="0" borderId="15" xfId="0" applyNumberFormat="1" applyFont="1" applyFill="1" applyBorder="1" applyAlignment="1">
      <alignment horizontal="right"/>
    </xf>
    <xf numFmtId="4" fontId="3" fillId="0" borderId="27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/>
    </xf>
    <xf numFmtId="4" fontId="3" fillId="0" borderId="31" xfId="0" applyNumberFormat="1" applyFont="1" applyFill="1" applyBorder="1" applyAlignment="1">
      <alignment horizontal="center"/>
    </xf>
    <xf numFmtId="4" fontId="2" fillId="0" borderId="45" xfId="1" applyNumberFormat="1" applyFont="1" applyFill="1" applyBorder="1" applyAlignment="1">
      <alignment horizontal="center"/>
    </xf>
    <xf numFmtId="4" fontId="2" fillId="0" borderId="32" xfId="1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" fontId="2" fillId="0" borderId="39" xfId="0" applyNumberFormat="1" applyFont="1" applyFill="1" applyBorder="1" applyAlignment="1">
      <alignment horizontal="center"/>
    </xf>
    <xf numFmtId="4" fontId="2" fillId="0" borderId="45" xfId="0" applyNumberFormat="1" applyFont="1" applyFill="1" applyBorder="1"/>
    <xf numFmtId="4" fontId="2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/>
    <xf numFmtId="4" fontId="2" fillId="0" borderId="32" xfId="0" applyNumberFormat="1" applyFont="1" applyFill="1" applyBorder="1"/>
    <xf numFmtId="4" fontId="2" fillId="0" borderId="60" xfId="0" applyNumberFormat="1" applyFont="1" applyFill="1" applyBorder="1"/>
    <xf numFmtId="2" fontId="16" fillId="0" borderId="0" xfId="1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right"/>
    </xf>
    <xf numFmtId="4" fontId="2" fillId="0" borderId="3" xfId="0" applyNumberFormat="1" applyFont="1" applyFill="1" applyBorder="1"/>
    <xf numFmtId="4" fontId="2" fillId="0" borderId="3" xfId="0" applyNumberFormat="1" applyFont="1" applyFill="1" applyBorder="1" applyAlignment="1"/>
    <xf numFmtId="4" fontId="2" fillId="0" borderId="2" xfId="0" applyNumberFormat="1" applyFont="1" applyFill="1" applyBorder="1" applyAlignment="1"/>
    <xf numFmtId="4" fontId="2" fillId="0" borderId="2" xfId="0" applyNumberFormat="1" applyFont="1" applyFill="1" applyBorder="1"/>
    <xf numFmtId="4" fontId="16" fillId="2" borderId="14" xfId="1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/>
    <xf numFmtId="4" fontId="3" fillId="0" borderId="3" xfId="0" applyNumberFormat="1" applyFont="1" applyFill="1" applyBorder="1" applyAlignment="1"/>
    <xf numFmtId="4" fontId="16" fillId="0" borderId="14" xfId="1" applyNumberFormat="1" applyFont="1" applyFill="1" applyBorder="1" applyAlignment="1">
      <alignment horizontal="center" vertical="center"/>
    </xf>
    <xf numFmtId="4" fontId="16" fillId="2" borderId="47" xfId="1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2" fillId="0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16" fillId="2" borderId="14" xfId="1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/>
    <xf numFmtId="167" fontId="2" fillId="0" borderId="7" xfId="0" applyNumberFormat="1" applyFont="1" applyFill="1" applyBorder="1"/>
    <xf numFmtId="167" fontId="2" fillId="0" borderId="8" xfId="0" applyNumberFormat="1" applyFont="1" applyFill="1" applyBorder="1"/>
    <xf numFmtId="167" fontId="3" fillId="0" borderId="7" xfId="0" applyNumberFormat="1" applyFont="1" applyFill="1" applyBorder="1" applyAlignment="1"/>
    <xf numFmtId="167" fontId="3" fillId="0" borderId="4" xfId="0" applyNumberFormat="1" applyFont="1" applyFill="1" applyBorder="1" applyAlignment="1">
      <alignment horizontal="right"/>
    </xf>
    <xf numFmtId="167" fontId="3" fillId="0" borderId="7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2" fontId="29" fillId="0" borderId="0" xfId="0" applyNumberFormat="1" applyFont="1"/>
    <xf numFmtId="4" fontId="2" fillId="0" borderId="14" xfId="0" applyNumberFormat="1" applyFont="1" applyBorder="1"/>
    <xf numFmtId="4" fontId="2" fillId="0" borderId="14" xfId="0" applyNumberFormat="1" applyFont="1" applyBorder="1" applyAlignment="1">
      <alignment horizontal="center"/>
    </xf>
    <xf numFmtId="4" fontId="2" fillId="0" borderId="17" xfId="0" applyNumberFormat="1" applyFont="1" applyBorder="1"/>
    <xf numFmtId="4" fontId="3" fillId="0" borderId="13" xfId="0" applyNumberFormat="1" applyFont="1" applyBorder="1" applyAlignment="1">
      <alignment horizontal="right"/>
    </xf>
    <xf numFmtId="4" fontId="2" fillId="0" borderId="20" xfId="1" applyNumberFormat="1" applyFont="1" applyBorder="1"/>
    <xf numFmtId="4" fontId="2" fillId="0" borderId="20" xfId="0" applyNumberFormat="1" applyFont="1" applyBorder="1"/>
    <xf numFmtId="4" fontId="25" fillId="0" borderId="20" xfId="0" applyNumberFormat="1" applyFont="1" applyBorder="1"/>
    <xf numFmtId="4" fontId="2" fillId="0" borderId="21" xfId="0" applyNumberFormat="1" applyFont="1" applyBorder="1"/>
    <xf numFmtId="4" fontId="2" fillId="0" borderId="14" xfId="1" applyNumberFormat="1" applyFont="1" applyBorder="1" applyAlignment="1">
      <alignment horizontal="center" vertical="center"/>
    </xf>
    <xf numFmtId="4" fontId="2" fillId="0" borderId="14" xfId="1" applyNumberFormat="1" applyFont="1" applyBorder="1" applyAlignment="1">
      <alignment horizontal="center"/>
    </xf>
    <xf numFmtId="4" fontId="8" fillId="0" borderId="17" xfId="0" applyNumberFormat="1" applyFont="1" applyBorder="1"/>
    <xf numFmtId="4" fontId="3" fillId="0" borderId="13" xfId="0" applyNumberFormat="1" applyFont="1" applyBorder="1"/>
    <xf numFmtId="4" fontId="2" fillId="0" borderId="16" xfId="0" applyNumberFormat="1" applyFont="1" applyBorder="1"/>
    <xf numFmtId="4" fontId="2" fillId="0" borderId="14" xfId="0" applyNumberFormat="1" applyFont="1" applyBorder="1" applyAlignment="1">
      <alignment horizontal="center" vertical="center"/>
    </xf>
    <xf numFmtId="4" fontId="2" fillId="0" borderId="38" xfId="0" applyNumberFormat="1" applyFont="1" applyBorder="1"/>
    <xf numFmtId="4" fontId="2" fillId="0" borderId="32" xfId="0" applyNumberFormat="1" applyFont="1" applyBorder="1" applyAlignment="1">
      <alignment horizontal="center"/>
    </xf>
    <xf numFmtId="4" fontId="2" fillId="0" borderId="45" xfId="0" applyNumberFormat="1" applyFont="1" applyBorder="1" applyAlignment="1">
      <alignment horizontal="center"/>
    </xf>
    <xf numFmtId="4" fontId="2" fillId="0" borderId="33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4" fontId="2" fillId="0" borderId="34" xfId="0" applyNumberFormat="1" applyFon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  <xf numFmtId="4" fontId="3" fillId="0" borderId="41" xfId="0" applyNumberFormat="1" applyFont="1" applyBorder="1" applyAlignment="1">
      <alignment horizontal="right"/>
    </xf>
    <xf numFmtId="4" fontId="3" fillId="0" borderId="31" xfId="0" applyNumberFormat="1" applyFont="1" applyBorder="1" applyAlignment="1">
      <alignment horizontal="right"/>
    </xf>
    <xf numFmtId="4" fontId="2" fillId="0" borderId="13" xfId="0" applyNumberFormat="1" applyFont="1" applyBorder="1" applyAlignment="1">
      <alignment horizontal="right"/>
    </xf>
    <xf numFmtId="4" fontId="2" fillId="0" borderId="62" xfId="0" applyNumberFormat="1" applyFont="1" applyFill="1" applyBorder="1"/>
    <xf numFmtId="4" fontId="2" fillId="0" borderId="0" xfId="0" applyNumberFormat="1" applyFont="1" applyFill="1" applyBorder="1" applyAlignment="1">
      <alignment horizontal="left"/>
    </xf>
    <xf numFmtId="4" fontId="3" fillId="0" borderId="20" xfId="0" applyNumberFormat="1" applyFont="1" applyFill="1" applyBorder="1" applyAlignment="1">
      <alignment horizontal="left"/>
    </xf>
    <xf numFmtId="4" fontId="3" fillId="0" borderId="19" xfId="0" applyNumberFormat="1" applyFont="1" applyFill="1" applyBorder="1" applyAlignment="1">
      <alignment horizontal="left"/>
    </xf>
    <xf numFmtId="4" fontId="2" fillId="0" borderId="14" xfId="0" applyNumberFormat="1" applyFont="1" applyFill="1" applyBorder="1" applyAlignment="1">
      <alignment horizontal="left"/>
    </xf>
    <xf numFmtId="4" fontId="2" fillId="0" borderId="17" xfId="0" applyNumberFormat="1" applyFont="1" applyFill="1" applyBorder="1"/>
    <xf numFmtId="4" fontId="2" fillId="0" borderId="21" xfId="0" applyNumberFormat="1" applyFont="1" applyFill="1" applyBorder="1" applyAlignment="1">
      <alignment horizontal="left"/>
    </xf>
    <xf numFmtId="4" fontId="2" fillId="0" borderId="23" xfId="0" applyNumberFormat="1" applyFont="1" applyFill="1" applyBorder="1" applyAlignment="1">
      <alignment horizontal="left"/>
    </xf>
    <xf numFmtId="4" fontId="2" fillId="0" borderId="44" xfId="0" applyNumberFormat="1" applyFont="1" applyFill="1" applyBorder="1" applyAlignment="1">
      <alignment horizontal="left"/>
    </xf>
    <xf numFmtId="4" fontId="2" fillId="0" borderId="19" xfId="0" applyNumberFormat="1" applyFont="1" applyFill="1" applyBorder="1" applyAlignment="1">
      <alignment horizontal="left"/>
    </xf>
    <xf numFmtId="4" fontId="3" fillId="0" borderId="14" xfId="0" applyNumberFormat="1" applyFont="1" applyFill="1" applyBorder="1" applyAlignment="1">
      <alignment horizontal="left"/>
    </xf>
    <xf numFmtId="4" fontId="2" fillId="0" borderId="47" xfId="0" applyNumberFormat="1" applyFont="1" applyFill="1" applyBorder="1" applyAlignment="1">
      <alignment horizontal="right"/>
    </xf>
    <xf numFmtId="4" fontId="2" fillId="0" borderId="47" xfId="0" applyNumberFormat="1" applyFont="1" applyFill="1" applyBorder="1" applyAlignment="1"/>
    <xf numFmtId="4" fontId="3" fillId="0" borderId="14" xfId="0" applyNumberFormat="1" applyFont="1" applyFill="1" applyBorder="1" applyAlignment="1">
      <alignment horizontal="right"/>
    </xf>
    <xf numFmtId="4" fontId="2" fillId="0" borderId="17" xfId="0" applyNumberFormat="1" applyFont="1" applyFill="1" applyBorder="1" applyAlignment="1">
      <alignment horizontal="left"/>
    </xf>
    <xf numFmtId="4" fontId="2" fillId="0" borderId="15" xfId="0" applyNumberFormat="1" applyFont="1" applyFill="1" applyBorder="1" applyAlignment="1">
      <alignment horizontal="left"/>
    </xf>
    <xf numFmtId="4" fontId="2" fillId="0" borderId="48" xfId="0" applyNumberFormat="1" applyFont="1" applyFill="1" applyBorder="1" applyAlignment="1">
      <alignment horizontal="left"/>
    </xf>
    <xf numFmtId="4" fontId="2" fillId="0" borderId="47" xfId="0" applyNumberFormat="1" applyFont="1" applyFill="1" applyBorder="1" applyAlignment="1">
      <alignment horizontal="left"/>
    </xf>
    <xf numFmtId="4" fontId="2" fillId="0" borderId="51" xfId="0" applyNumberFormat="1" applyFont="1" applyFill="1" applyBorder="1" applyAlignment="1">
      <alignment horizontal="left"/>
    </xf>
    <xf numFmtId="4" fontId="2" fillId="0" borderId="15" xfId="0" applyNumberFormat="1" applyFont="1" applyFill="1" applyBorder="1" applyAlignment="1">
      <alignment horizontal="center"/>
    </xf>
    <xf numFmtId="4" fontId="3" fillId="0" borderId="14" xfId="0" applyNumberFormat="1" applyFont="1" applyFill="1" applyBorder="1"/>
    <xf numFmtId="4" fontId="3" fillId="0" borderId="0" xfId="0" applyNumberFormat="1" applyFont="1" applyFill="1" applyBorder="1"/>
    <xf numFmtId="4" fontId="3" fillId="0" borderId="33" xfId="0" applyNumberFormat="1" applyFont="1" applyFill="1" applyBorder="1"/>
    <xf numFmtId="4" fontId="17" fillId="0" borderId="14" xfId="0" applyNumberFormat="1" applyFont="1" applyFill="1" applyBorder="1" applyAlignment="1">
      <alignment horizontal="right"/>
    </xf>
    <xf numFmtId="4" fontId="2" fillId="0" borderId="34" xfId="0" applyNumberFormat="1" applyFont="1" applyFill="1" applyBorder="1"/>
    <xf numFmtId="4" fontId="2" fillId="0" borderId="47" xfId="0" applyNumberFormat="1" applyFont="1" applyFill="1" applyBorder="1"/>
    <xf numFmtId="4" fontId="2" fillId="0" borderId="23" xfId="0" applyNumberFormat="1" applyFont="1" applyFill="1" applyBorder="1"/>
    <xf numFmtId="4" fontId="2" fillId="0" borderId="13" xfId="0" applyNumberFormat="1" applyFont="1" applyFill="1" applyBorder="1"/>
    <xf numFmtId="4" fontId="4" fillId="0" borderId="41" xfId="0" applyNumberFormat="1" applyFont="1" applyFill="1" applyBorder="1" applyAlignment="1">
      <alignment horizontal="right"/>
    </xf>
    <xf numFmtId="4" fontId="2" fillId="0" borderId="22" xfId="0" applyNumberFormat="1" applyFont="1" applyFill="1" applyBorder="1"/>
    <xf numFmtId="4" fontId="2" fillId="0" borderId="50" xfId="0" applyNumberFormat="1" applyFont="1" applyFill="1" applyBorder="1"/>
    <xf numFmtId="4" fontId="3" fillId="0" borderId="0" xfId="0" applyNumberFormat="1" applyFont="1" applyFill="1" applyBorder="1" applyAlignment="1">
      <alignment horizontal="center"/>
    </xf>
    <xf numFmtId="4" fontId="2" fillId="0" borderId="8" xfId="0" applyNumberFormat="1" applyFont="1" applyFill="1" applyBorder="1" applyAlignment="1">
      <alignment horizontal="right"/>
    </xf>
    <xf numFmtId="4" fontId="2" fillId="0" borderId="8" xfId="0" applyNumberFormat="1" applyFont="1" applyFill="1" applyBorder="1" applyAlignment="1">
      <alignment horizontal="left"/>
    </xf>
    <xf numFmtId="4" fontId="2" fillId="0" borderId="0" xfId="0" applyNumberFormat="1" applyFont="1" applyBorder="1" applyAlignment="1"/>
    <xf numFmtId="4" fontId="2" fillId="0" borderId="0" xfId="0" applyNumberFormat="1" applyFont="1"/>
    <xf numFmtId="4" fontId="2" fillId="0" borderId="0" xfId="0" applyNumberFormat="1" applyFont="1" applyBorder="1" applyAlignment="1">
      <alignment wrapText="1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" fontId="2" fillId="0" borderId="19" xfId="0" applyNumberFormat="1" applyFont="1" applyBorder="1"/>
    <xf numFmtId="4" fontId="2" fillId="0" borderId="38" xfId="0" applyNumberFormat="1" applyFont="1" applyBorder="1" applyAlignment="1">
      <alignment horizontal="center"/>
    </xf>
    <xf numFmtId="4" fontId="2" fillId="0" borderId="33" xfId="0" applyNumberFormat="1" applyFont="1" applyBorder="1"/>
    <xf numFmtId="4" fontId="2" fillId="0" borderId="34" xfId="0" applyNumberFormat="1" applyFont="1" applyBorder="1"/>
    <xf numFmtId="4" fontId="2" fillId="0" borderId="13" xfId="0" applyNumberFormat="1" applyFont="1" applyBorder="1" applyAlignment="1">
      <alignment horizontal="center"/>
    </xf>
    <xf numFmtId="4" fontId="2" fillId="0" borderId="31" xfId="0" applyNumberFormat="1" applyFont="1" applyBorder="1" applyAlignment="1">
      <alignment horizontal="center"/>
    </xf>
    <xf numFmtId="4" fontId="3" fillId="0" borderId="0" xfId="0" applyNumberFormat="1" applyFont="1" applyBorder="1"/>
    <xf numFmtId="4" fontId="2" fillId="0" borderId="0" xfId="0" applyNumberFormat="1" applyFont="1" applyBorder="1"/>
    <xf numFmtId="4" fontId="2" fillId="0" borderId="0" xfId="0" applyNumberFormat="1" applyFont="1" applyAlignment="1"/>
    <xf numFmtId="4" fontId="3" fillId="0" borderId="0" xfId="0" applyNumberFormat="1" applyFont="1" applyBorder="1" applyAlignment="1">
      <alignment horizontal="center" wrapText="1"/>
    </xf>
    <xf numFmtId="4" fontId="3" fillId="0" borderId="13" xfId="0" applyNumberFormat="1" applyFont="1" applyBorder="1" applyAlignment="1">
      <alignment horizontal="center"/>
    </xf>
    <xf numFmtId="4" fontId="3" fillId="0" borderId="19" xfId="0" applyNumberFormat="1" applyFont="1" applyFill="1" applyBorder="1"/>
    <xf numFmtId="4" fontId="2" fillId="0" borderId="20" xfId="0" applyNumberFormat="1" applyFont="1" applyFill="1" applyBorder="1" applyAlignment="1">
      <alignment horizontal="justify"/>
    </xf>
    <xf numFmtId="4" fontId="2" fillId="0" borderId="23" xfId="0" applyNumberFormat="1" applyFont="1" applyFill="1" applyBorder="1" applyAlignment="1">
      <alignment horizontal="justify"/>
    </xf>
    <xf numFmtId="4" fontId="2" fillId="0" borderId="43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justify"/>
    </xf>
    <xf numFmtId="4" fontId="3" fillId="0" borderId="13" xfId="0" applyNumberFormat="1" applyFont="1" applyFill="1" applyBorder="1" applyAlignment="1">
      <alignment horizontal="center" vertical="center" wrapText="1"/>
    </xf>
    <xf numFmtId="4" fontId="2" fillId="0" borderId="44" xfId="0" applyNumberFormat="1" applyFont="1" applyFill="1" applyBorder="1" applyAlignment="1">
      <alignment horizontal="justify"/>
    </xf>
    <xf numFmtId="4" fontId="2" fillId="0" borderId="38" xfId="0" applyNumberFormat="1" applyFont="1" applyFill="1" applyBorder="1" applyAlignment="1">
      <alignment horizontal="center"/>
    </xf>
    <xf numFmtId="4" fontId="2" fillId="0" borderId="17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right"/>
    </xf>
    <xf numFmtId="4" fontId="3" fillId="0" borderId="57" xfId="0" applyNumberFormat="1" applyFont="1" applyFill="1" applyBorder="1" applyAlignment="1">
      <alignment horizontal="right"/>
    </xf>
    <xf numFmtId="4" fontId="2" fillId="0" borderId="32" xfId="0" applyNumberFormat="1" applyFont="1" applyFill="1" applyBorder="1" applyAlignment="1">
      <alignment horizontal="center"/>
    </xf>
    <xf numFmtId="4" fontId="2" fillId="0" borderId="20" xfId="1" applyNumberFormat="1" applyFont="1" applyFill="1" applyBorder="1" applyAlignment="1">
      <alignment horizontal="center"/>
    </xf>
    <xf numFmtId="4" fontId="3" fillId="0" borderId="17" xfId="0" applyNumberFormat="1" applyFont="1" applyFill="1" applyBorder="1"/>
    <xf numFmtId="4" fontId="2" fillId="0" borderId="21" xfId="1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right"/>
    </xf>
    <xf numFmtId="4" fontId="16" fillId="0" borderId="0" xfId="0" applyNumberFormat="1" applyFont="1" applyFill="1"/>
    <xf numFmtId="4" fontId="15" fillId="0" borderId="0" xfId="0" applyNumberFormat="1" applyFont="1" applyFill="1" applyBorder="1" applyAlignment="1">
      <alignment horizontal="center" wrapText="1"/>
    </xf>
    <xf numFmtId="4" fontId="15" fillId="0" borderId="0" xfId="0" applyNumberFormat="1" applyFont="1" applyFill="1" applyBorder="1"/>
    <xf numFmtId="4" fontId="15" fillId="0" borderId="13" xfId="0" applyNumberFormat="1" applyFont="1" applyFill="1" applyBorder="1" applyAlignment="1">
      <alignment horizontal="center" wrapText="1"/>
    </xf>
    <xf numFmtId="4" fontId="15" fillId="0" borderId="31" xfId="0" applyNumberFormat="1" applyFont="1" applyFill="1" applyBorder="1" applyAlignment="1">
      <alignment horizontal="center" wrapText="1"/>
    </xf>
    <xf numFmtId="4" fontId="16" fillId="0" borderId="0" xfId="0" applyNumberFormat="1" applyFont="1" applyFill="1" applyAlignment="1">
      <alignment horizontal="center"/>
    </xf>
    <xf numFmtId="4" fontId="15" fillId="0" borderId="19" xfId="0" applyNumberFormat="1" applyFont="1" applyFill="1" applyBorder="1"/>
    <xf numFmtId="4" fontId="16" fillId="0" borderId="16" xfId="0" applyNumberFormat="1" applyFont="1" applyFill="1" applyBorder="1"/>
    <xf numFmtId="4" fontId="16" fillId="0" borderId="32" xfId="0" applyNumberFormat="1" applyFont="1" applyFill="1" applyBorder="1"/>
    <xf numFmtId="4" fontId="16" fillId="0" borderId="38" xfId="0" applyNumberFormat="1" applyFont="1" applyFill="1" applyBorder="1"/>
    <xf numFmtId="4" fontId="16" fillId="0" borderId="20" xfId="0" applyNumberFormat="1" applyFont="1" applyFill="1" applyBorder="1"/>
    <xf numFmtId="4" fontId="16" fillId="0" borderId="14" xfId="0" applyNumberFormat="1" applyFont="1" applyFill="1" applyBorder="1"/>
    <xf numFmtId="4" fontId="16" fillId="0" borderId="14" xfId="0" applyNumberFormat="1" applyFont="1" applyFill="1" applyBorder="1" applyAlignment="1">
      <alignment horizontal="right"/>
    </xf>
    <xf numFmtId="4" fontId="16" fillId="0" borderId="33" xfId="0" applyNumberFormat="1" applyFont="1" applyFill="1" applyBorder="1"/>
    <xf numFmtId="4" fontId="16" fillId="0" borderId="20" xfId="0" applyNumberFormat="1" applyFont="1" applyFill="1" applyBorder="1" applyAlignment="1">
      <alignment vertical="justify" wrapText="1"/>
    </xf>
    <xf numFmtId="4" fontId="16" fillId="0" borderId="14" xfId="1" applyNumberFormat="1" applyFont="1" applyFill="1" applyBorder="1" applyAlignment="1">
      <alignment horizontal="center"/>
    </xf>
    <xf numFmtId="4" fontId="16" fillId="0" borderId="14" xfId="1" applyNumberFormat="1" applyFont="1" applyFill="1" applyBorder="1" applyAlignment="1">
      <alignment horizontal="right"/>
    </xf>
    <xf numFmtId="4" fontId="16" fillId="0" borderId="20" xfId="1" applyNumberFormat="1" applyFont="1" applyFill="1" applyBorder="1" applyAlignment="1">
      <alignment horizontal="right"/>
    </xf>
    <xf numFmtId="4" fontId="16" fillId="0" borderId="14" xfId="1" applyNumberFormat="1" applyFont="1" applyFill="1" applyBorder="1" applyAlignment="1">
      <alignment vertical="center"/>
    </xf>
    <xf numFmtId="4" fontId="16" fillId="0" borderId="33" xfId="1" applyNumberFormat="1" applyFont="1" applyFill="1" applyBorder="1" applyAlignment="1">
      <alignment horizontal="right"/>
    </xf>
    <xf numFmtId="4" fontId="16" fillId="0" borderId="14" xfId="1" applyNumberFormat="1" applyFont="1" applyFill="1" applyBorder="1" applyAlignment="1"/>
    <xf numFmtId="4" fontId="16" fillId="0" borderId="20" xfId="1" applyNumberFormat="1" applyFont="1" applyFill="1" applyBorder="1"/>
    <xf numFmtId="4" fontId="16" fillId="0" borderId="14" xfId="1" applyNumberFormat="1" applyFont="1" applyFill="1" applyBorder="1"/>
    <xf numFmtId="4" fontId="16" fillId="0" borderId="20" xfId="0" applyNumberFormat="1" applyFont="1" applyFill="1" applyBorder="1" applyAlignment="1">
      <alignment horizontal="left"/>
    </xf>
    <xf numFmtId="4" fontId="15" fillId="0" borderId="20" xfId="0" applyNumberFormat="1" applyFont="1" applyFill="1" applyBorder="1"/>
    <xf numFmtId="4" fontId="15" fillId="0" borderId="14" xfId="0" applyNumberFormat="1" applyFont="1" applyFill="1" applyBorder="1"/>
    <xf numFmtId="4" fontId="15" fillId="0" borderId="33" xfId="0" applyNumberFormat="1" applyFont="1" applyFill="1" applyBorder="1"/>
    <xf numFmtId="4" fontId="15" fillId="0" borderId="0" xfId="0" applyNumberFormat="1" applyFont="1" applyFill="1"/>
    <xf numFmtId="4" fontId="15" fillId="0" borderId="14" xfId="0" applyNumberFormat="1" applyFont="1" applyFill="1" applyBorder="1" applyAlignment="1">
      <alignment horizontal="center"/>
    </xf>
    <xf numFmtId="4" fontId="15" fillId="0" borderId="14" xfId="0" applyNumberFormat="1" applyFont="1" applyFill="1" applyBorder="1" applyAlignment="1">
      <alignment horizontal="right"/>
    </xf>
    <xf numFmtId="4" fontId="15" fillId="0" borderId="14" xfId="1" applyNumberFormat="1" applyFont="1" applyFill="1" applyBorder="1" applyAlignment="1">
      <alignment horizontal="right"/>
    </xf>
    <xf numFmtId="4" fontId="15" fillId="0" borderId="14" xfId="1" applyNumberFormat="1" applyFont="1" applyFill="1" applyBorder="1" applyAlignment="1">
      <alignment horizontal="center"/>
    </xf>
    <xf numFmtId="4" fontId="15" fillId="0" borderId="33" xfId="0" applyNumberFormat="1" applyFont="1" applyFill="1" applyBorder="1" applyAlignment="1">
      <alignment horizontal="right"/>
    </xf>
    <xf numFmtId="4" fontId="16" fillId="0" borderId="33" xfId="1" applyNumberFormat="1" applyFont="1" applyFill="1" applyBorder="1"/>
    <xf numFmtId="4" fontId="15" fillId="0" borderId="34" xfId="0" applyNumberFormat="1" applyFont="1" applyFill="1" applyBorder="1"/>
    <xf numFmtId="4" fontId="15" fillId="0" borderId="17" xfId="0" applyNumberFormat="1" applyFont="1" applyFill="1" applyBorder="1"/>
    <xf numFmtId="4" fontId="15" fillId="0" borderId="17" xfId="1" applyNumberFormat="1" applyFont="1" applyFill="1" applyBorder="1" applyAlignment="1">
      <alignment horizontal="right"/>
    </xf>
    <xf numFmtId="4" fontId="15" fillId="0" borderId="17" xfId="1" applyNumberFormat="1" applyFont="1" applyFill="1" applyBorder="1" applyAlignment="1">
      <alignment horizontal="center"/>
    </xf>
    <xf numFmtId="4" fontId="15" fillId="0" borderId="21" xfId="1" applyNumberFormat="1" applyFont="1" applyFill="1" applyBorder="1"/>
    <xf numFmtId="4" fontId="16" fillId="0" borderId="34" xfId="1" applyNumberFormat="1" applyFont="1" applyFill="1" applyBorder="1"/>
    <xf numFmtId="4" fontId="19" fillId="0" borderId="13" xfId="0" applyNumberFormat="1" applyFont="1" applyFill="1" applyBorder="1" applyAlignment="1">
      <alignment horizontal="center"/>
    </xf>
    <xf numFmtId="4" fontId="19" fillId="0" borderId="31" xfId="0" applyNumberFormat="1" applyFont="1" applyFill="1" applyBorder="1"/>
    <xf numFmtId="4" fontId="19" fillId="0" borderId="13" xfId="0" applyNumberFormat="1" applyFont="1" applyFill="1" applyBorder="1"/>
    <xf numFmtId="4" fontId="19" fillId="0" borderId="0" xfId="0" applyNumberFormat="1" applyFont="1" applyFill="1"/>
    <xf numFmtId="4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18" xfId="0" applyNumberFormat="1" applyFont="1" applyFill="1" applyBorder="1" applyAlignment="1">
      <alignment horizontal="center"/>
    </xf>
    <xf numFmtId="4" fontId="12" fillId="0" borderId="20" xfId="0" applyNumberFormat="1" applyFont="1" applyFill="1" applyBorder="1"/>
    <xf numFmtId="4" fontId="12" fillId="0" borderId="14" xfId="0" applyNumberFormat="1" applyFont="1" applyFill="1" applyBorder="1" applyAlignment="1">
      <alignment horizontal="center"/>
    </xf>
    <xf numFmtId="4" fontId="13" fillId="0" borderId="31" xfId="0" applyNumberFormat="1" applyFont="1" applyFill="1" applyBorder="1" applyAlignment="1">
      <alignment horizontal="center"/>
    </xf>
    <xf numFmtId="4" fontId="12" fillId="0" borderId="19" xfId="0" applyNumberFormat="1" applyFont="1" applyFill="1" applyBorder="1"/>
    <xf numFmtId="4" fontId="12" fillId="0" borderId="38" xfId="1" applyNumberFormat="1" applyFont="1" applyFill="1" applyBorder="1" applyAlignment="1">
      <alignment horizontal="center"/>
    </xf>
    <xf numFmtId="4" fontId="12" fillId="0" borderId="32" xfId="1" applyNumberFormat="1" applyFont="1" applyFill="1" applyBorder="1" applyAlignment="1">
      <alignment horizontal="center"/>
    </xf>
    <xf numFmtId="4" fontId="12" fillId="0" borderId="14" xfId="0" applyNumberFormat="1" applyFont="1" applyFill="1" applyBorder="1"/>
    <xf numFmtId="4" fontId="12" fillId="0" borderId="33" xfId="0" applyNumberFormat="1" applyFont="1" applyFill="1" applyBorder="1"/>
    <xf numFmtId="4" fontId="12" fillId="0" borderId="23" xfId="0" applyNumberFormat="1" applyFont="1" applyFill="1" applyBorder="1"/>
    <xf numFmtId="4" fontId="12" fillId="0" borderId="15" xfId="0" applyNumberFormat="1" applyFont="1" applyFill="1" applyBorder="1" applyAlignment="1">
      <alignment horizontal="center"/>
    </xf>
    <xf numFmtId="4" fontId="3" fillId="0" borderId="20" xfId="0" applyNumberFormat="1" applyFont="1" applyFill="1" applyBorder="1"/>
    <xf numFmtId="4" fontId="3" fillId="0" borderId="0" xfId="0" applyNumberFormat="1" applyFont="1" applyFill="1"/>
    <xf numFmtId="4" fontId="2" fillId="0" borderId="44" xfId="0" applyNumberFormat="1" applyFont="1" applyFill="1" applyBorder="1"/>
    <xf numFmtId="4" fontId="2" fillId="0" borderId="46" xfId="0" applyNumberFormat="1" applyFont="1" applyFill="1" applyBorder="1"/>
    <xf numFmtId="4" fontId="2" fillId="0" borderId="53" xfId="0" applyNumberFormat="1" applyFont="1" applyFill="1" applyBorder="1"/>
    <xf numFmtId="4" fontId="2" fillId="0" borderId="16" xfId="0" applyNumberFormat="1" applyFont="1" applyFill="1" applyBorder="1"/>
    <xf numFmtId="4" fontId="3" fillId="0" borderId="18" xfId="0" applyNumberFormat="1" applyFont="1" applyFill="1" applyBorder="1" applyAlignment="1">
      <alignment horizontal="center"/>
    </xf>
    <xf numFmtId="4" fontId="2" fillId="0" borderId="41" xfId="0" applyNumberFormat="1" applyFont="1" applyFill="1" applyBorder="1"/>
    <xf numFmtId="4" fontId="2" fillId="0" borderId="19" xfId="0" applyNumberFormat="1" applyFont="1" applyFill="1" applyBorder="1" applyAlignment="1">
      <alignment horizontal="justify"/>
    </xf>
    <xf numFmtId="4" fontId="3" fillId="0" borderId="20" xfId="0" applyNumberFormat="1" applyFont="1" applyFill="1" applyBorder="1" applyAlignment="1">
      <alignment horizontal="justify"/>
    </xf>
    <xf numFmtId="4" fontId="3" fillId="0" borderId="44" xfId="0" applyNumberFormat="1" applyFont="1" applyFill="1" applyBorder="1" applyAlignment="1">
      <alignment horizontal="justify"/>
    </xf>
    <xf numFmtId="4" fontId="2" fillId="0" borderId="45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justify"/>
    </xf>
    <xf numFmtId="4" fontId="2" fillId="0" borderId="14" xfId="0" applyNumberFormat="1" applyFont="1" applyFill="1" applyBorder="1" applyAlignment="1">
      <alignment horizontal="justify"/>
    </xf>
    <xf numFmtId="4" fontId="3" fillId="0" borderId="15" xfId="0" applyNumberFormat="1" applyFont="1" applyFill="1" applyBorder="1"/>
    <xf numFmtId="4" fontId="2" fillId="0" borderId="0" xfId="0" applyNumberFormat="1" applyFont="1" applyBorder="1" applyAlignment="1">
      <alignment horizontal="center" wrapText="1"/>
    </xf>
    <xf numFmtId="4" fontId="9" fillId="0" borderId="0" xfId="0" applyNumberFormat="1" applyFont="1" applyBorder="1" applyAlignment="1">
      <alignment horizontal="center" wrapText="1"/>
    </xf>
    <xf numFmtId="4" fontId="9" fillId="0" borderId="0" xfId="0" applyNumberFormat="1" applyFont="1"/>
    <xf numFmtId="4" fontId="2" fillId="0" borderId="16" xfId="0" applyNumberFormat="1" applyFont="1" applyBorder="1" applyAlignment="1">
      <alignment horizontal="center"/>
    </xf>
    <xf numFmtId="4" fontId="2" fillId="0" borderId="23" xfId="0" applyNumberFormat="1" applyFont="1" applyBorder="1"/>
    <xf numFmtId="4" fontId="2" fillId="0" borderId="14" xfId="0" applyNumberFormat="1" applyFont="1" applyFill="1" applyBorder="1" applyAlignment="1">
      <alignment vertical="top" wrapText="1"/>
    </xf>
    <xf numFmtId="4" fontId="3" fillId="0" borderId="49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/>
    <xf numFmtId="4" fontId="2" fillId="0" borderId="0" xfId="0" applyNumberFormat="1" applyFont="1" applyFill="1" applyBorder="1" applyAlignment="1">
      <alignment wrapText="1"/>
    </xf>
    <xf numFmtId="4" fontId="3" fillId="0" borderId="0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wrapText="1"/>
    </xf>
    <xf numFmtId="4" fontId="12" fillId="0" borderId="32" xfId="0" applyNumberFormat="1" applyFont="1" applyFill="1" applyBorder="1" applyAlignment="1">
      <alignment horizontal="center"/>
    </xf>
    <xf numFmtId="4" fontId="12" fillId="0" borderId="17" xfId="0" applyNumberFormat="1" applyFont="1" applyFill="1" applyBorder="1"/>
    <xf numFmtId="4" fontId="13" fillId="0" borderId="0" xfId="0" applyNumberFormat="1" applyFont="1" applyFill="1" applyBorder="1" applyAlignment="1">
      <alignment horizontal="center"/>
    </xf>
    <xf numFmtId="4" fontId="13" fillId="0" borderId="58" xfId="0" applyNumberFormat="1" applyFont="1" applyFill="1" applyBorder="1" applyAlignment="1">
      <alignment horizontal="center"/>
    </xf>
    <xf numFmtId="4" fontId="12" fillId="0" borderId="44" xfId="0" applyNumberFormat="1" applyFont="1" applyFill="1" applyBorder="1"/>
    <xf numFmtId="4" fontId="12" fillId="0" borderId="20" xfId="0" applyNumberFormat="1" applyFont="1" applyFill="1" applyBorder="1" applyAlignment="1">
      <alignment horizontal="left"/>
    </xf>
    <xf numFmtId="4" fontId="12" fillId="0" borderId="15" xfId="0" applyNumberFormat="1" applyFont="1" applyFill="1" applyBorder="1"/>
    <xf numFmtId="4" fontId="13" fillId="0" borderId="0" xfId="0" applyNumberFormat="1" applyFont="1" applyFill="1" applyBorder="1"/>
    <xf numFmtId="4" fontId="3" fillId="0" borderId="14" xfId="0" applyNumberFormat="1" applyFont="1" applyFill="1" applyBorder="1" applyAlignment="1">
      <alignment horizontal="center"/>
    </xf>
    <xf numFmtId="4" fontId="2" fillId="0" borderId="14" xfId="0" applyNumberFormat="1" applyFont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/>
    </xf>
    <xf numFmtId="4" fontId="3" fillId="0" borderId="20" xfId="0" applyNumberFormat="1" applyFont="1" applyFill="1" applyBorder="1" applyAlignment="1"/>
    <xf numFmtId="4" fontId="3" fillId="0" borderId="44" xfId="0" applyNumberFormat="1" applyFont="1" applyFill="1" applyBorder="1" applyAlignment="1"/>
    <xf numFmtId="4" fontId="2" fillId="0" borderId="20" xfId="0" applyNumberFormat="1" applyFont="1" applyFill="1" applyBorder="1" applyAlignment="1">
      <alignment horizontal="right"/>
    </xf>
    <xf numFmtId="4" fontId="2" fillId="0" borderId="23" xfId="0" applyNumberFormat="1" applyFont="1" applyFill="1" applyBorder="1" applyAlignment="1">
      <alignment horizontal="right"/>
    </xf>
    <xf numFmtId="4" fontId="2" fillId="0" borderId="44" xfId="0" applyNumberFormat="1" applyFont="1" applyFill="1" applyBorder="1" applyAlignment="1">
      <alignment horizontal="right"/>
    </xf>
    <xf numFmtId="4" fontId="3" fillId="0" borderId="20" xfId="0" applyNumberFormat="1" applyFont="1" applyFill="1" applyBorder="1" applyAlignment="1">
      <alignment horizontal="right"/>
    </xf>
    <xf numFmtId="4" fontId="2" fillId="0" borderId="21" xfId="0" applyNumberFormat="1" applyFont="1" applyFill="1" applyBorder="1" applyAlignment="1">
      <alignment horizontal="right"/>
    </xf>
    <xf numFmtId="4" fontId="4" fillId="0" borderId="57" xfId="0" applyNumberFormat="1" applyFont="1" applyFill="1" applyBorder="1" applyAlignment="1">
      <alignment horizontal="center"/>
    </xf>
    <xf numFmtId="4" fontId="4" fillId="0" borderId="57" xfId="0" applyNumberFormat="1" applyFont="1" applyFill="1" applyBorder="1" applyAlignment="1">
      <alignment horizontal="right"/>
    </xf>
    <xf numFmtId="4" fontId="3" fillId="0" borderId="38" xfId="0" applyNumberFormat="1" applyFont="1" applyFill="1" applyBorder="1" applyAlignment="1"/>
    <xf numFmtId="4" fontId="2" fillId="0" borderId="19" xfId="0" applyNumberFormat="1" applyFont="1" applyFill="1" applyBorder="1" applyAlignment="1">
      <alignment horizontal="right"/>
    </xf>
    <xf numFmtId="4" fontId="2" fillId="0" borderId="22" xfId="0" applyNumberFormat="1" applyFont="1" applyFill="1" applyBorder="1" applyAlignment="1">
      <alignment horizontal="right"/>
    </xf>
    <xf numFmtId="4" fontId="4" fillId="0" borderId="20" xfId="0" applyNumberFormat="1" applyFont="1" applyFill="1" applyBorder="1" applyAlignment="1">
      <alignment horizontal="center"/>
    </xf>
    <xf numFmtId="4" fontId="4" fillId="0" borderId="21" xfId="0" applyNumberFormat="1" applyFont="1" applyFill="1" applyBorder="1" applyAlignment="1">
      <alignment horizontal="center"/>
    </xf>
    <xf numFmtId="4" fontId="4" fillId="0" borderId="23" xfId="0" applyNumberFormat="1" applyFont="1" applyFill="1" applyBorder="1" applyAlignment="1">
      <alignment horizontal="center"/>
    </xf>
    <xf numFmtId="4" fontId="4" fillId="0" borderId="59" xfId="0" applyNumberFormat="1" applyFont="1" applyFill="1" applyBorder="1" applyAlignment="1">
      <alignment horizontal="center"/>
    </xf>
    <xf numFmtId="4" fontId="4" fillId="0" borderId="59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/>
    <xf numFmtId="4" fontId="2" fillId="0" borderId="16" xfId="0" applyNumberFormat="1" applyFont="1" applyFill="1" applyBorder="1" applyAlignment="1">
      <alignment horizontal="left"/>
    </xf>
    <xf numFmtId="4" fontId="2" fillId="0" borderId="16" xfId="0" applyNumberFormat="1" applyFont="1" applyFill="1" applyBorder="1" applyAlignment="1">
      <alignment horizontal="right"/>
    </xf>
    <xf numFmtId="4" fontId="2" fillId="0" borderId="57" xfId="0" applyNumberFormat="1" applyFont="1" applyFill="1" applyBorder="1" applyAlignment="1">
      <alignment horizontal="right"/>
    </xf>
    <xf numFmtId="4" fontId="4" fillId="0" borderId="41" xfId="0" applyNumberFormat="1" applyFont="1" applyFill="1" applyBorder="1"/>
    <xf numFmtId="4" fontId="2" fillId="0" borderId="58" xfId="0" applyNumberFormat="1" applyFont="1" applyFill="1" applyBorder="1" applyAlignment="1">
      <alignment horizontal="right"/>
    </xf>
    <xf numFmtId="4" fontId="2" fillId="0" borderId="38" xfId="0" applyNumberFormat="1" applyFont="1" applyFill="1" applyBorder="1" applyAlignment="1">
      <alignment horizontal="left"/>
    </xf>
    <xf numFmtId="4" fontId="2" fillId="0" borderId="48" xfId="0" applyNumberFormat="1" applyFont="1" applyFill="1" applyBorder="1"/>
    <xf numFmtId="4" fontId="2" fillId="0" borderId="51" xfId="0" applyNumberFormat="1" applyFont="1" applyFill="1" applyBorder="1"/>
    <xf numFmtId="4" fontId="2" fillId="0" borderId="48" xfId="0" applyNumberFormat="1" applyFont="1" applyFill="1" applyBorder="1" applyAlignment="1"/>
    <xf numFmtId="4" fontId="2" fillId="0" borderId="66" xfId="0" applyNumberFormat="1" applyFont="1" applyFill="1" applyBorder="1"/>
    <xf numFmtId="4" fontId="2" fillId="0" borderId="51" xfId="0" applyNumberFormat="1" applyFont="1" applyFill="1" applyBorder="1" applyAlignment="1"/>
    <xf numFmtId="4" fontId="3" fillId="0" borderId="22" xfId="0" applyNumberFormat="1" applyFont="1" applyFill="1" applyBorder="1" applyAlignment="1">
      <alignment horizontal="left"/>
    </xf>
    <xf numFmtId="4" fontId="2" fillId="0" borderId="39" xfId="0" applyNumberFormat="1" applyFont="1" applyFill="1" applyBorder="1"/>
    <xf numFmtId="4" fontId="2" fillId="0" borderId="39" xfId="0" applyNumberFormat="1" applyFont="1" applyFill="1" applyBorder="1" applyAlignment="1">
      <alignment horizontal="left"/>
    </xf>
    <xf numFmtId="4" fontId="2" fillId="0" borderId="39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wrapText="1"/>
    </xf>
    <xf numFmtId="4" fontId="3" fillId="0" borderId="44" xfId="0" applyNumberFormat="1" applyFont="1" applyFill="1" applyBorder="1"/>
    <xf numFmtId="4" fontId="3" fillId="0" borderId="38" xfId="0" applyNumberFormat="1" applyFont="1" applyFill="1" applyBorder="1"/>
    <xf numFmtId="4" fontId="2" fillId="0" borderId="44" xfId="0" applyNumberFormat="1" applyFont="1" applyFill="1" applyBorder="1" applyAlignment="1">
      <alignment horizontal="center"/>
    </xf>
    <xf numFmtId="4" fontId="16" fillId="0" borderId="14" xfId="1" applyNumberFormat="1" applyFont="1" applyFill="1" applyBorder="1" applyAlignment="1">
      <alignment horizontal="right" vertical="center"/>
    </xf>
    <xf numFmtId="4" fontId="16" fillId="0" borderId="46" xfId="0" applyNumberFormat="1" applyFont="1" applyFill="1" applyBorder="1"/>
    <xf numFmtId="0" fontId="2" fillId="0" borderId="50" xfId="0" applyFont="1" applyBorder="1"/>
    <xf numFmtId="4" fontId="2" fillId="0" borderId="13" xfId="0" applyNumberFormat="1" applyFont="1" applyFill="1" applyBorder="1" applyAlignment="1">
      <alignment horizontal="center"/>
    </xf>
    <xf numFmtId="4" fontId="17" fillId="0" borderId="20" xfId="0" applyNumberFormat="1" applyFont="1" applyFill="1" applyBorder="1" applyAlignment="1">
      <alignment horizontal="right"/>
    </xf>
    <xf numFmtId="4" fontId="17" fillId="0" borderId="14" xfId="0" applyNumberFormat="1" applyFont="1" applyFill="1" applyBorder="1" applyAlignment="1">
      <alignment horizontal="center"/>
    </xf>
    <xf numFmtId="4" fontId="17" fillId="0" borderId="47" xfId="0" applyNumberFormat="1" applyFont="1" applyFill="1" applyBorder="1" applyAlignment="1"/>
    <xf numFmtId="4" fontId="17" fillId="0" borderId="20" xfId="0" applyNumberFormat="1" applyFont="1" applyFill="1" applyBorder="1"/>
    <xf numFmtId="4" fontId="17" fillId="0" borderId="20" xfId="0" applyNumberFormat="1" applyFont="1" applyFill="1" applyBorder="1" applyAlignment="1">
      <alignment horizontal="left"/>
    </xf>
    <xf numFmtId="4" fontId="17" fillId="0" borderId="0" xfId="0" applyNumberFormat="1" applyFont="1" applyFill="1" applyBorder="1"/>
    <xf numFmtId="4" fontId="17" fillId="0" borderId="21" xfId="0" applyNumberFormat="1" applyFont="1" applyFill="1" applyBorder="1"/>
    <xf numFmtId="4" fontId="2" fillId="0" borderId="31" xfId="0" applyNumberFormat="1" applyFont="1" applyFill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3" fillId="0" borderId="18" xfId="0" applyNumberFormat="1" applyFont="1" applyFill="1" applyBorder="1" applyAlignment="1">
      <alignment horizontal="center"/>
    </xf>
    <xf numFmtId="0" fontId="2" fillId="0" borderId="20" xfId="0" applyFont="1" applyBorder="1" applyAlignment="1">
      <alignment vertical="top" wrapText="1"/>
    </xf>
    <xf numFmtId="4" fontId="2" fillId="0" borderId="43" xfId="0" applyNumberFormat="1" applyFont="1" applyBorder="1" applyAlignment="1">
      <alignment horizontal="center"/>
    </xf>
    <xf numFmtId="4" fontId="3" fillId="0" borderId="50" xfId="0" applyNumberFormat="1" applyFont="1" applyFill="1" applyBorder="1" applyAlignment="1"/>
    <xf numFmtId="4" fontId="3" fillId="0" borderId="46" xfId="0" applyNumberFormat="1" applyFont="1" applyFill="1" applyBorder="1" applyAlignment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 vertical="center" wrapText="1"/>
    </xf>
    <xf numFmtId="4" fontId="2" fillId="0" borderId="5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/>
    <xf numFmtId="4" fontId="2" fillId="0" borderId="58" xfId="0" applyNumberFormat="1" applyFont="1" applyFill="1" applyBorder="1"/>
    <xf numFmtId="4" fontId="2" fillId="0" borderId="50" xfId="0" applyNumberFormat="1" applyFont="1" applyFill="1" applyBorder="1" applyAlignment="1">
      <alignment horizontal="left"/>
    </xf>
    <xf numFmtId="4" fontId="2" fillId="0" borderId="50" xfId="0" applyNumberFormat="1" applyFont="1" applyFill="1" applyBorder="1" applyAlignment="1">
      <alignment horizontal="center"/>
    </xf>
    <xf numFmtId="4" fontId="2" fillId="0" borderId="50" xfId="0" applyNumberFormat="1" applyFont="1" applyFill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5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58" xfId="0" applyNumberFormat="1" applyFont="1" applyFill="1" applyBorder="1" applyAlignment="1">
      <alignment horizontal="center" vertical="center" wrapText="1"/>
    </xf>
    <xf numFmtId="4" fontId="3" fillId="0" borderId="50" xfId="0" applyNumberFormat="1" applyFont="1" applyFill="1" applyBorder="1" applyAlignment="1">
      <alignment horizontal="center" vertical="center" wrapText="1"/>
    </xf>
    <xf numFmtId="4" fontId="3" fillId="0" borderId="63" xfId="0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4" fontId="3" fillId="0" borderId="60" xfId="0" applyNumberFormat="1" applyFont="1" applyFill="1" applyBorder="1" applyAlignment="1">
      <alignment horizontal="center" vertical="center" wrapText="1"/>
    </xf>
    <xf numFmtId="4" fontId="3" fillId="0" borderId="57" xfId="0" applyNumberFormat="1" applyFont="1" applyFill="1" applyBorder="1" applyAlignment="1">
      <alignment horizontal="center" vertical="center" wrapText="1"/>
    </xf>
    <xf numFmtId="4" fontId="3" fillId="0" borderId="39" xfId="0" applyNumberFormat="1" applyFont="1" applyFill="1" applyBorder="1" applyAlignment="1">
      <alignment horizontal="center" vertical="center" wrapText="1"/>
    </xf>
    <xf numFmtId="4" fontId="3" fillId="0" borderId="59" xfId="0" applyNumberFormat="1" applyFont="1" applyFill="1" applyBorder="1" applyAlignment="1">
      <alignment horizontal="center" vertical="center" wrapText="1"/>
    </xf>
    <xf numFmtId="4" fontId="3" fillId="0" borderId="18" xfId="0" applyNumberFormat="1" applyFont="1" applyFill="1" applyBorder="1" applyAlignment="1">
      <alignment horizontal="center"/>
    </xf>
    <xf numFmtId="4" fontId="3" fillId="0" borderId="63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3" fillId="0" borderId="12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right"/>
    </xf>
    <xf numFmtId="4" fontId="3" fillId="0" borderId="12" xfId="0" applyNumberFormat="1" applyFont="1" applyFill="1" applyBorder="1" applyAlignment="1">
      <alignment horizontal="center" vertical="center" wrapText="1"/>
    </xf>
    <xf numFmtId="4" fontId="3" fillId="0" borderId="25" xfId="0" applyNumberFormat="1" applyFont="1" applyFill="1" applyBorder="1" applyAlignment="1">
      <alignment horizontal="center" vertical="center" wrapText="1"/>
    </xf>
    <xf numFmtId="4" fontId="2" fillId="0" borderId="50" xfId="0" applyNumberFormat="1" applyFont="1" applyFill="1" applyBorder="1" applyAlignment="1">
      <alignment horizontal="right"/>
    </xf>
    <xf numFmtId="4" fontId="3" fillId="0" borderId="56" xfId="0" applyNumberFormat="1" applyFont="1" applyFill="1" applyBorder="1" applyAlignment="1">
      <alignment horizontal="center" vertical="center" wrapText="1"/>
    </xf>
    <xf numFmtId="4" fontId="3" fillId="0" borderId="55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/>
    </xf>
    <xf numFmtId="4" fontId="3" fillId="0" borderId="25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3" fillId="0" borderId="54" xfId="0" applyNumberFormat="1" applyFont="1" applyFill="1" applyBorder="1" applyAlignment="1">
      <alignment horizontal="center"/>
    </xf>
    <xf numFmtId="4" fontId="3" fillId="0" borderId="55" xfId="0" applyNumberFormat="1" applyFont="1" applyFill="1" applyBorder="1" applyAlignment="1">
      <alignment horizontal="center"/>
    </xf>
    <xf numFmtId="4" fontId="3" fillId="0" borderId="28" xfId="0" applyNumberFormat="1" applyFont="1" applyFill="1" applyBorder="1" applyAlignment="1">
      <alignment horizontal="center"/>
    </xf>
    <xf numFmtId="4" fontId="3" fillId="0" borderId="25" xfId="0" applyNumberFormat="1" applyFont="1" applyFill="1" applyBorder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15" fillId="0" borderId="12" xfId="0" applyNumberFormat="1" applyFont="1" applyFill="1" applyBorder="1" applyAlignment="1">
      <alignment horizontal="center"/>
    </xf>
    <xf numFmtId="4" fontId="15" fillId="0" borderId="24" xfId="0" applyNumberFormat="1" applyFont="1" applyFill="1" applyBorder="1" applyAlignment="1">
      <alignment horizontal="center"/>
    </xf>
    <xf numFmtId="4" fontId="15" fillId="0" borderId="25" xfId="0" applyNumberFormat="1" applyFont="1" applyFill="1" applyBorder="1" applyAlignment="1">
      <alignment horizontal="center"/>
    </xf>
    <xf numFmtId="4" fontId="15" fillId="0" borderId="28" xfId="0" applyNumberFormat="1" applyFont="1" applyFill="1" applyBorder="1" applyAlignment="1">
      <alignment horizontal="center"/>
    </xf>
    <xf numFmtId="4" fontId="15" fillId="0" borderId="44" xfId="0" applyNumberFormat="1" applyFont="1" applyFill="1" applyBorder="1" applyAlignment="1">
      <alignment horizontal="center" vertical="center" wrapText="1"/>
    </xf>
    <xf numFmtId="4" fontId="15" fillId="0" borderId="23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wrapText="1"/>
    </xf>
    <xf numFmtId="4" fontId="13" fillId="0" borderId="0" xfId="0" applyNumberFormat="1" applyFont="1" applyFill="1" applyBorder="1" applyAlignment="1">
      <alignment horizontal="center" wrapText="1"/>
    </xf>
    <xf numFmtId="4" fontId="12" fillId="0" borderId="0" xfId="0" applyNumberFormat="1" applyFont="1" applyFill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" fontId="3" fillId="0" borderId="24" xfId="0" applyNumberFormat="1" applyFont="1" applyFill="1" applyBorder="1" applyAlignment="1">
      <alignment horizontal="center"/>
    </xf>
    <xf numFmtId="4" fontId="3" fillId="0" borderId="56" xfId="0" applyNumberFormat="1" applyFont="1" applyFill="1" applyBorder="1" applyAlignment="1">
      <alignment horizontal="center"/>
    </xf>
    <xf numFmtId="4" fontId="3" fillId="0" borderId="61" xfId="0" applyNumberFormat="1" applyFont="1" applyFill="1" applyBorder="1" applyAlignment="1">
      <alignment horizontal="center"/>
    </xf>
    <xf numFmtId="4" fontId="3" fillId="0" borderId="12" xfId="0" applyNumberFormat="1" applyFont="1" applyFill="1" applyBorder="1" applyAlignment="1">
      <alignment horizontal="center"/>
    </xf>
    <xf numFmtId="4" fontId="3" fillId="0" borderId="40" xfId="0" applyNumberFormat="1" applyFont="1" applyFill="1" applyBorder="1" applyAlignment="1">
      <alignment horizontal="center" vertical="center"/>
    </xf>
    <xf numFmtId="4" fontId="3" fillId="0" borderId="41" xfId="0" applyNumberFormat="1" applyFont="1" applyFill="1" applyBorder="1" applyAlignment="1">
      <alignment horizontal="center" vertical="center"/>
    </xf>
    <xf numFmtId="4" fontId="3" fillId="0" borderId="65" xfId="0" applyNumberFormat="1" applyFont="1" applyFill="1" applyBorder="1" applyAlignment="1">
      <alignment horizontal="center"/>
    </xf>
    <xf numFmtId="4" fontId="2" fillId="0" borderId="35" xfId="0" applyNumberFormat="1" applyFont="1" applyFill="1" applyBorder="1" applyAlignment="1"/>
    <xf numFmtId="4" fontId="2" fillId="0" borderId="36" xfId="0" applyNumberFormat="1" applyFont="1" applyFill="1" applyBorder="1" applyAlignment="1"/>
    <xf numFmtId="4" fontId="2" fillId="0" borderId="37" xfId="0" applyNumberFormat="1" applyFont="1" applyFill="1" applyBorder="1" applyAlignment="1"/>
    <xf numFmtId="4" fontId="2" fillId="0" borderId="0" xfId="0" applyNumberFormat="1" applyFont="1" applyFill="1" applyBorder="1" applyAlignment="1"/>
    <xf numFmtId="4" fontId="3" fillId="0" borderId="0" xfId="0" applyNumberFormat="1" applyFont="1" applyFill="1" applyBorder="1" applyAlignment="1">
      <alignment horizontal="left"/>
    </xf>
    <xf numFmtId="4" fontId="2" fillId="0" borderId="1" xfId="0" applyNumberFormat="1" applyFont="1" applyFill="1" applyBorder="1" applyAlignment="1"/>
    <xf numFmtId="4" fontId="2" fillId="0" borderId="2" xfId="0" applyNumberFormat="1" applyFont="1" applyFill="1" applyBorder="1" applyAlignment="1"/>
    <xf numFmtId="4" fontId="2" fillId="0" borderId="8" xfId="0" applyNumberFormat="1" applyFont="1" applyFill="1" applyBorder="1" applyAlignment="1"/>
    <xf numFmtId="4" fontId="3" fillId="0" borderId="27" xfId="0" applyNumberFormat="1" applyFont="1" applyFill="1" applyBorder="1" applyAlignment="1">
      <alignment horizontal="center"/>
    </xf>
    <xf numFmtId="4" fontId="3" fillId="0" borderId="29" xfId="0" applyNumberFormat="1" applyFont="1" applyFill="1" applyBorder="1" applyAlignment="1">
      <alignment horizontal="center"/>
    </xf>
    <xf numFmtId="4" fontId="3" fillId="0" borderId="64" xfId="0" applyNumberFormat="1" applyFont="1" applyFill="1" applyBorder="1" applyAlignment="1">
      <alignment horizontal="center"/>
    </xf>
    <xf numFmtId="4" fontId="2" fillId="0" borderId="10" xfId="0" applyNumberFormat="1" applyFont="1" applyFill="1" applyBorder="1" applyAlignment="1"/>
    <xf numFmtId="4" fontId="2" fillId="0" borderId="5" xfId="0" applyNumberFormat="1" applyFont="1" applyFill="1" applyBorder="1" applyAlignment="1"/>
    <xf numFmtId="4" fontId="2" fillId="0" borderId="11" xfId="0" applyNumberFormat="1" applyFont="1" applyFill="1" applyBorder="1" applyAlignment="1"/>
    <xf numFmtId="4" fontId="12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center"/>
    </xf>
    <xf numFmtId="4" fontId="13" fillId="0" borderId="38" xfId="0" applyNumberFormat="1" applyFont="1" applyFill="1" applyBorder="1" applyAlignment="1">
      <alignment horizontal="center" vertical="center" wrapText="1"/>
    </xf>
    <xf numFmtId="4" fontId="14" fillId="0" borderId="15" xfId="0" applyNumberFormat="1" applyFont="1" applyFill="1" applyBorder="1" applyAlignment="1">
      <alignment horizontal="center" vertical="center" wrapText="1"/>
    </xf>
    <xf numFmtId="4" fontId="3" fillId="0" borderId="38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4" fontId="3" fillId="0" borderId="52" xfId="0" applyNumberFormat="1" applyFont="1" applyFill="1" applyBorder="1" applyAlignment="1">
      <alignment horizontal="center"/>
    </xf>
    <xf numFmtId="4" fontId="2" fillId="0" borderId="52" xfId="0" applyNumberFormat="1" applyFont="1" applyFill="1" applyBorder="1" applyAlignment="1">
      <alignment horizontal="center"/>
    </xf>
    <xf numFmtId="4" fontId="2" fillId="0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39" xfId="0" applyFont="1" applyFill="1" applyBorder="1" applyAlignment="1">
      <alignment horizontal="left"/>
    </xf>
    <xf numFmtId="0" fontId="3" fillId="0" borderId="3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2" fontId="3" fillId="0" borderId="36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H41"/>
  <sheetViews>
    <sheetView tabSelected="1" view="pageBreakPreview" topLeftCell="A16" zoomScaleSheetLayoutView="100" workbookViewId="0">
      <selection activeCell="F33" sqref="F33"/>
    </sheetView>
  </sheetViews>
  <sheetFormatPr defaultColWidth="9.140625" defaultRowHeight="15.75"/>
  <cols>
    <col min="1" max="1" width="69.5703125" style="50" customWidth="1"/>
    <col min="2" max="2" width="18.5703125" style="50" customWidth="1"/>
    <col min="3" max="3" width="25.85546875" style="50" customWidth="1"/>
    <col min="4" max="4" width="24.42578125" style="50" customWidth="1"/>
    <col min="5" max="5" width="14.7109375" style="50" customWidth="1"/>
    <col min="6" max="6" width="14" style="50" bestFit="1" customWidth="1"/>
    <col min="7" max="7" width="12" style="50" bestFit="1" customWidth="1"/>
    <col min="8" max="16384" width="9.140625" style="50"/>
  </cols>
  <sheetData>
    <row r="1" spans="1:6" ht="33.75" customHeight="1">
      <c r="A1" s="557" t="s">
        <v>504</v>
      </c>
      <c r="B1" s="557"/>
      <c r="C1" s="557"/>
      <c r="D1" s="557"/>
    </row>
    <row r="2" spans="1:6">
      <c r="A2" s="555" t="s">
        <v>1120</v>
      </c>
      <c r="B2" s="555"/>
      <c r="C2" s="555"/>
      <c r="D2" s="555"/>
    </row>
    <row r="3" spans="1:6">
      <c r="A3" s="52"/>
      <c r="B3" s="52"/>
      <c r="C3" s="52"/>
      <c r="D3" s="207" t="s">
        <v>1113</v>
      </c>
      <c r="E3" s="207"/>
    </row>
    <row r="4" spans="1:6" ht="16.5" thickBot="1">
      <c r="A4" s="52"/>
      <c r="B4" s="52"/>
      <c r="C4" s="52"/>
      <c r="D4" s="52"/>
    </row>
    <row r="5" spans="1:6" ht="16.5" thickBot="1">
      <c r="A5" s="53" t="s">
        <v>267</v>
      </c>
      <c r="B5" s="159" t="s">
        <v>408</v>
      </c>
      <c r="C5" s="53" t="s">
        <v>409</v>
      </c>
      <c r="D5" s="53" t="s">
        <v>410</v>
      </c>
    </row>
    <row r="6" spans="1:6">
      <c r="A6" s="125"/>
      <c r="B6" s="160"/>
      <c r="C6" s="54"/>
      <c r="D6" s="165"/>
    </row>
    <row r="7" spans="1:6">
      <c r="A7" s="126" t="s">
        <v>268</v>
      </c>
      <c r="B7" s="161">
        <v>1</v>
      </c>
      <c r="C7" s="292">
        <f>Capi!C13</f>
        <v>2689041460.9810314</v>
      </c>
      <c r="D7" s="292">
        <f>Capi!E13</f>
        <v>2447145988.2310314</v>
      </c>
      <c r="E7" s="291">
        <v>2680222956.9000001</v>
      </c>
      <c r="F7" s="55">
        <f>+C7-E7</f>
        <v>8818504.0810313225</v>
      </c>
    </row>
    <row r="8" spans="1:6">
      <c r="A8" s="127" t="s">
        <v>250</v>
      </c>
      <c r="B8" s="161">
        <v>2</v>
      </c>
      <c r="C8" s="293" t="s">
        <v>233</v>
      </c>
      <c r="D8" s="293" t="s">
        <v>233</v>
      </c>
    </row>
    <row r="9" spans="1:6">
      <c r="A9" s="126" t="s">
        <v>404</v>
      </c>
      <c r="B9" s="161">
        <v>3</v>
      </c>
      <c r="C9" s="293" t="s">
        <v>233</v>
      </c>
      <c r="D9" s="293" t="s">
        <v>233</v>
      </c>
    </row>
    <row r="10" spans="1:6">
      <c r="A10" s="127" t="s">
        <v>405</v>
      </c>
      <c r="B10" s="161">
        <v>4</v>
      </c>
      <c r="C10" s="293" t="s">
        <v>233</v>
      </c>
      <c r="D10" s="293" t="s">
        <v>233</v>
      </c>
    </row>
    <row r="11" spans="1:6">
      <c r="A11" s="126" t="s">
        <v>242</v>
      </c>
      <c r="B11" s="161">
        <v>5</v>
      </c>
      <c r="C11" s="293" t="s">
        <v>233</v>
      </c>
      <c r="D11" s="293" t="s">
        <v>233</v>
      </c>
    </row>
    <row r="12" spans="1:6">
      <c r="A12" s="127" t="s">
        <v>406</v>
      </c>
      <c r="B12" s="161">
        <v>6</v>
      </c>
      <c r="C12" s="293" t="s">
        <v>233</v>
      </c>
      <c r="D12" s="293" t="s">
        <v>233</v>
      </c>
    </row>
    <row r="13" spans="1:6">
      <c r="A13" s="126" t="s">
        <v>407</v>
      </c>
      <c r="B13" s="161">
        <v>7</v>
      </c>
      <c r="C13" s="241">
        <f>'S 7'!B123</f>
        <v>130049810.52</v>
      </c>
      <c r="D13" s="241">
        <f>'S 7'!E123</f>
        <v>155702123.51999998</v>
      </c>
      <c r="E13" s="50">
        <v>130049810.52</v>
      </c>
      <c r="F13" s="212">
        <f>+C13-E13</f>
        <v>0</v>
      </c>
    </row>
    <row r="14" spans="1:6" ht="16.5" thickBot="1">
      <c r="A14" s="128"/>
      <c r="B14" s="163"/>
      <c r="C14" s="294"/>
      <c r="D14" s="294"/>
      <c r="F14" s="55"/>
    </row>
    <row r="15" spans="1:6" ht="16.5" thickBot="1">
      <c r="A15" s="137" t="s">
        <v>411</v>
      </c>
      <c r="B15" s="57"/>
      <c r="C15" s="295">
        <f>SUM(C7:C14)</f>
        <v>2819091271.5010314</v>
      </c>
      <c r="D15" s="295">
        <f>SUM(D7:D14)</f>
        <v>2602848111.7510314</v>
      </c>
      <c r="E15" s="55"/>
      <c r="F15" s="55"/>
    </row>
    <row r="16" spans="1:6" ht="16.5" thickBot="1">
      <c r="A16" s="61"/>
      <c r="B16" s="52"/>
      <c r="C16" s="52"/>
      <c r="D16" s="67"/>
      <c r="F16" s="55"/>
    </row>
    <row r="17" spans="1:8" ht="16.5" thickBot="1">
      <c r="A17" s="137" t="s">
        <v>412</v>
      </c>
      <c r="B17" s="53" t="s">
        <v>408</v>
      </c>
      <c r="C17" s="53" t="s">
        <v>409</v>
      </c>
      <c r="D17" s="53" t="s">
        <v>410</v>
      </c>
    </row>
    <row r="18" spans="1:8">
      <c r="A18" s="164"/>
      <c r="B18" s="160"/>
      <c r="C18" s="66"/>
      <c r="D18" s="54"/>
    </row>
    <row r="19" spans="1:8">
      <c r="A19" s="126" t="s">
        <v>413</v>
      </c>
      <c r="B19" s="161">
        <v>8</v>
      </c>
      <c r="C19" s="296">
        <f>'S 8'!J54</f>
        <v>2104966518.3310351</v>
      </c>
      <c r="D19" s="292">
        <f>'S 8'!K54</f>
        <v>2101127426.6810362</v>
      </c>
      <c r="E19" s="55">
        <v>2104520115.25</v>
      </c>
      <c r="F19" s="55">
        <f>+C19-E19</f>
        <v>446403.08103513718</v>
      </c>
    </row>
    <row r="20" spans="1:8" ht="15" customHeight="1" thickBot="1">
      <c r="A20" s="126" t="s">
        <v>415</v>
      </c>
      <c r="B20" s="161">
        <v>9</v>
      </c>
      <c r="C20" s="250" t="s">
        <v>233</v>
      </c>
      <c r="D20" s="219" t="s">
        <v>233</v>
      </c>
      <c r="E20" s="55"/>
      <c r="F20" s="55"/>
    </row>
    <row r="21" spans="1:8" ht="15" customHeight="1">
      <c r="A21" s="127" t="s">
        <v>416</v>
      </c>
      <c r="B21" s="161">
        <v>10</v>
      </c>
      <c r="C21" s="297">
        <f>'S 9 10'!B37</f>
        <v>352621276</v>
      </c>
      <c r="D21" s="292">
        <f>'S 9 10'!C37</f>
        <v>267621276</v>
      </c>
      <c r="E21" s="50">
        <v>352621276</v>
      </c>
      <c r="F21" s="55">
        <f>+C21-E21</f>
        <v>0</v>
      </c>
      <c r="H21" s="526"/>
    </row>
    <row r="22" spans="1:8">
      <c r="A22" s="126" t="s">
        <v>418</v>
      </c>
      <c r="B22" s="161">
        <v>11</v>
      </c>
      <c r="C22" s="249">
        <f>'S 11 c'!C121</f>
        <v>361503477.17000002</v>
      </c>
      <c r="D22" s="241">
        <f>'S 11 c'!E121</f>
        <v>234099409.07000002</v>
      </c>
      <c r="E22" s="213">
        <v>353131376.17000002</v>
      </c>
      <c r="F22" s="214">
        <f>+C22-E22</f>
        <v>8372101</v>
      </c>
    </row>
    <row r="23" spans="1:8">
      <c r="A23" s="126" t="s">
        <v>419</v>
      </c>
      <c r="B23" s="293"/>
      <c r="C23" s="293" t="s">
        <v>233</v>
      </c>
      <c r="D23" s="293" t="s">
        <v>233</v>
      </c>
      <c r="E23" s="55"/>
    </row>
    <row r="24" spans="1:8" ht="25.5">
      <c r="A24" s="126" t="s">
        <v>420</v>
      </c>
      <c r="B24" s="162"/>
      <c r="C24" s="298"/>
      <c r="D24" s="292"/>
    </row>
    <row r="25" spans="1:8" ht="16.5" thickBot="1">
      <c r="A25" s="128"/>
      <c r="B25" s="163"/>
      <c r="C25" s="299"/>
      <c r="D25" s="294"/>
      <c r="F25" s="55"/>
    </row>
    <row r="26" spans="1:8" ht="16.5" thickBot="1">
      <c r="A26" s="129" t="s">
        <v>411</v>
      </c>
      <c r="B26" s="57"/>
      <c r="C26" s="295">
        <f>SUM(C19:C24)</f>
        <v>2819091271.5010352</v>
      </c>
      <c r="D26" s="295">
        <f>SUM(D19:D24)</f>
        <v>2602848111.7510362</v>
      </c>
      <c r="E26" s="208">
        <f>C15-C26</f>
        <v>-3.814697265625E-6</v>
      </c>
      <c r="F26" s="118">
        <f>D15-D26</f>
        <v>-4.76837158203125E-6</v>
      </c>
    </row>
    <row r="27" spans="1:8" ht="16.5" thickBot="1">
      <c r="A27" s="167"/>
      <c r="B27" s="72"/>
      <c r="C27" s="52"/>
      <c r="D27" s="73"/>
      <c r="E27" s="55"/>
      <c r="F27" s="55"/>
    </row>
    <row r="28" spans="1:8">
      <c r="A28" s="168" t="s">
        <v>421</v>
      </c>
      <c r="B28" s="169">
        <v>24</v>
      </c>
      <c r="C28" s="170" t="s">
        <v>233</v>
      </c>
      <c r="D28" s="170" t="s">
        <v>233</v>
      </c>
      <c r="E28" s="55"/>
      <c r="F28" s="55"/>
    </row>
    <row r="29" spans="1:8" ht="16.5" thickBot="1">
      <c r="A29" s="158" t="s">
        <v>422</v>
      </c>
      <c r="B29" s="310"/>
      <c r="C29" s="166" t="s">
        <v>233</v>
      </c>
      <c r="D29" s="166" t="s">
        <v>233</v>
      </c>
      <c r="E29" s="55"/>
      <c r="F29" s="55"/>
    </row>
    <row r="30" spans="1:8">
      <c r="A30" s="155"/>
      <c r="B30" s="156"/>
      <c r="C30" s="69"/>
      <c r="D30" s="69"/>
      <c r="E30" s="55"/>
      <c r="F30" s="55"/>
    </row>
    <row r="31" spans="1:8">
      <c r="A31" s="155"/>
      <c r="B31" s="156"/>
      <c r="C31" s="69"/>
      <c r="D31" s="69"/>
      <c r="E31" s="55"/>
      <c r="F31" s="55"/>
    </row>
    <row r="32" spans="1:8">
      <c r="A32" s="52"/>
      <c r="B32" s="58"/>
      <c r="C32" s="59"/>
      <c r="D32" s="60"/>
      <c r="F32" s="55"/>
    </row>
    <row r="34" spans="1:6">
      <c r="A34" s="559" t="s">
        <v>1442</v>
      </c>
      <c r="B34" s="557" t="s">
        <v>1463</v>
      </c>
      <c r="C34" s="557"/>
      <c r="D34" s="557"/>
    </row>
    <row r="35" spans="1:6">
      <c r="A35" s="559"/>
      <c r="B35" s="557"/>
      <c r="C35" s="557"/>
      <c r="D35" s="557"/>
      <c r="F35" s="55"/>
    </row>
    <row r="36" spans="1:6">
      <c r="A36" s="559"/>
      <c r="B36" s="557"/>
      <c r="C36" s="557"/>
      <c r="D36" s="557"/>
    </row>
    <row r="37" spans="1:6">
      <c r="A37" s="558" t="s">
        <v>798</v>
      </c>
      <c r="B37" s="558"/>
      <c r="C37" s="558"/>
      <c r="D37" s="558"/>
    </row>
    <row r="38" spans="1:6">
      <c r="A38" s="46"/>
      <c r="B38" s="58"/>
      <c r="C38" s="556"/>
      <c r="D38" s="556"/>
    </row>
    <row r="39" spans="1:6">
      <c r="A39" s="52"/>
      <c r="B39" s="61"/>
      <c r="C39" s="61"/>
      <c r="D39" s="61"/>
    </row>
    <row r="40" spans="1:6">
      <c r="A40" s="52"/>
      <c r="B40" s="52"/>
      <c r="C40" s="60"/>
      <c r="D40" s="60"/>
    </row>
    <row r="41" spans="1:6" ht="15.75" customHeight="1">
      <c r="A41" s="52"/>
      <c r="B41" s="52"/>
      <c r="C41" s="60"/>
      <c r="D41" s="60"/>
    </row>
  </sheetData>
  <mergeCells count="6">
    <mergeCell ref="A2:D2"/>
    <mergeCell ref="C38:D38"/>
    <mergeCell ref="A1:D1"/>
    <mergeCell ref="A37:D37"/>
    <mergeCell ref="A34:A36"/>
    <mergeCell ref="B34:D36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94" orientation="landscape" horizontalDpi="4294967293" vertic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4"/>
  <dimension ref="A1:AV39"/>
  <sheetViews>
    <sheetView view="pageBreakPreview" topLeftCell="A25" zoomScale="85" zoomScaleSheetLayoutView="85" workbookViewId="0">
      <selection activeCell="C35" sqref="C35"/>
    </sheetView>
  </sheetViews>
  <sheetFormatPr defaultColWidth="9.140625" defaultRowHeight="16.5"/>
  <cols>
    <col min="1" max="1" width="90.85546875" style="245" customWidth="1"/>
    <col min="2" max="2" width="20.42578125" style="245" customWidth="1"/>
    <col min="3" max="3" width="19.7109375" style="245" customWidth="1"/>
    <col min="4" max="48" width="9.140625" style="244"/>
    <col min="49" max="16384" width="9.140625" style="245"/>
  </cols>
  <sheetData>
    <row r="1" spans="1:8">
      <c r="A1" s="610" t="s">
        <v>322</v>
      </c>
      <c r="B1" s="610"/>
      <c r="C1" s="610"/>
      <c r="D1" s="429"/>
      <c r="E1" s="429"/>
      <c r="F1" s="429"/>
      <c r="G1" s="429"/>
      <c r="H1" s="429"/>
    </row>
    <row r="2" spans="1:8" ht="8.25" customHeight="1">
      <c r="A2" s="232"/>
      <c r="B2" s="232"/>
      <c r="C2" s="232"/>
    </row>
    <row r="3" spans="1:8">
      <c r="A3" s="611" t="s">
        <v>1116</v>
      </c>
      <c r="B3" s="611"/>
      <c r="C3" s="611"/>
      <c r="D3" s="430"/>
      <c r="E3" s="430"/>
      <c r="F3" s="430"/>
      <c r="G3" s="430"/>
      <c r="H3" s="430"/>
    </row>
    <row r="4" spans="1:8" ht="17.25" thickBot="1">
      <c r="A4" s="244"/>
      <c r="B4" s="588" t="s">
        <v>1132</v>
      </c>
      <c r="C4" s="588"/>
    </row>
    <row r="5" spans="1:8" ht="17.25" thickBot="1">
      <c r="A5" s="431" t="s">
        <v>134</v>
      </c>
      <c r="B5" s="233" t="s">
        <v>409</v>
      </c>
      <c r="C5" s="233" t="s">
        <v>410</v>
      </c>
    </row>
    <row r="6" spans="1:8">
      <c r="A6" s="432" t="s">
        <v>135</v>
      </c>
      <c r="B6" s="433" t="s">
        <v>233</v>
      </c>
      <c r="C6" s="433" t="s">
        <v>233</v>
      </c>
    </row>
    <row r="7" spans="1:8">
      <c r="A7" s="432"/>
      <c r="B7" s="433"/>
      <c r="C7" s="433"/>
    </row>
    <row r="8" spans="1:8">
      <c r="A8" s="432" t="s">
        <v>136</v>
      </c>
      <c r="B8" s="433" t="s">
        <v>233</v>
      </c>
      <c r="C8" s="433" t="s">
        <v>233</v>
      </c>
    </row>
    <row r="9" spans="1:8">
      <c r="A9" s="432"/>
      <c r="B9" s="433"/>
      <c r="C9" s="433"/>
    </row>
    <row r="10" spans="1:8">
      <c r="A10" s="432" t="s">
        <v>137</v>
      </c>
      <c r="B10" s="433" t="s">
        <v>233</v>
      </c>
      <c r="C10" s="433" t="s">
        <v>233</v>
      </c>
    </row>
    <row r="11" spans="1:8">
      <c r="A11" s="432"/>
      <c r="B11" s="433"/>
      <c r="C11" s="433"/>
    </row>
    <row r="12" spans="1:8">
      <c r="A12" s="432" t="s">
        <v>138</v>
      </c>
      <c r="B12" s="433" t="s">
        <v>233</v>
      </c>
      <c r="C12" s="433" t="s">
        <v>233</v>
      </c>
    </row>
    <row r="13" spans="1:8">
      <c r="A13" s="432"/>
      <c r="B13" s="433"/>
      <c r="C13" s="433"/>
    </row>
    <row r="14" spans="1:8">
      <c r="A14" s="432" t="s">
        <v>139</v>
      </c>
      <c r="B14" s="433" t="s">
        <v>233</v>
      </c>
      <c r="C14" s="433" t="s">
        <v>233</v>
      </c>
    </row>
    <row r="15" spans="1:8">
      <c r="A15" s="432"/>
      <c r="B15" s="433"/>
      <c r="C15" s="433"/>
    </row>
    <row r="16" spans="1:8" ht="17.25" thickBot="1">
      <c r="A16" s="432" t="s">
        <v>140</v>
      </c>
      <c r="B16" s="433" t="s">
        <v>233</v>
      </c>
      <c r="C16" s="433" t="s">
        <v>233</v>
      </c>
    </row>
    <row r="17" spans="1:3" ht="17.25" thickBot="1">
      <c r="A17" s="431" t="s">
        <v>141</v>
      </c>
      <c r="B17" s="233" t="s">
        <v>233</v>
      </c>
      <c r="C17" s="233" t="s">
        <v>233</v>
      </c>
    </row>
    <row r="18" spans="1:3" ht="17.25" thickBot="1">
      <c r="A18" s="244"/>
      <c r="B18" s="238"/>
      <c r="C18" s="238"/>
    </row>
    <row r="19" spans="1:3" ht="17.25" thickBot="1">
      <c r="A19" s="233" t="s">
        <v>142</v>
      </c>
      <c r="B19" s="233" t="s">
        <v>409</v>
      </c>
      <c r="C19" s="434" t="s">
        <v>410</v>
      </c>
    </row>
    <row r="20" spans="1:3">
      <c r="A20" s="435" t="s">
        <v>135</v>
      </c>
      <c r="B20" s="436" t="s">
        <v>233</v>
      </c>
      <c r="C20" s="437" t="s">
        <v>233</v>
      </c>
    </row>
    <row r="21" spans="1:3">
      <c r="A21" s="432"/>
      <c r="B21" s="438"/>
      <c r="C21" s="439"/>
    </row>
    <row r="22" spans="1:3">
      <c r="A22" s="432" t="s">
        <v>136</v>
      </c>
      <c r="B22" s="433" t="s">
        <v>233</v>
      </c>
      <c r="C22" s="235" t="s">
        <v>233</v>
      </c>
    </row>
    <row r="23" spans="1:3">
      <c r="A23" s="432"/>
      <c r="B23" s="438"/>
      <c r="C23" s="439"/>
    </row>
    <row r="24" spans="1:3">
      <c r="A24" s="432" t="s">
        <v>137</v>
      </c>
      <c r="B24" s="433" t="s">
        <v>233</v>
      </c>
      <c r="C24" s="235" t="s">
        <v>233</v>
      </c>
    </row>
    <row r="25" spans="1:3">
      <c r="A25" s="432"/>
      <c r="B25" s="438"/>
      <c r="C25" s="439"/>
    </row>
    <row r="26" spans="1:3">
      <c r="A26" s="432" t="s">
        <v>138</v>
      </c>
      <c r="B26" s="433" t="s">
        <v>233</v>
      </c>
      <c r="C26" s="235" t="s">
        <v>233</v>
      </c>
    </row>
    <row r="27" spans="1:3">
      <c r="A27" s="432"/>
      <c r="B27" s="438"/>
      <c r="C27" s="439"/>
    </row>
    <row r="28" spans="1:3">
      <c r="A28" s="432" t="s">
        <v>139</v>
      </c>
      <c r="B28" s="433" t="s">
        <v>233</v>
      </c>
      <c r="C28" s="235" t="s">
        <v>233</v>
      </c>
    </row>
    <row r="29" spans="1:3">
      <c r="A29" s="432"/>
      <c r="B29" s="438"/>
      <c r="C29" s="439"/>
    </row>
    <row r="30" spans="1:3">
      <c r="A30" s="432" t="s">
        <v>237</v>
      </c>
      <c r="B30" s="433" t="s">
        <v>233</v>
      </c>
      <c r="C30" s="235" t="s">
        <v>233</v>
      </c>
    </row>
    <row r="31" spans="1:3">
      <c r="A31" s="432" t="s">
        <v>259</v>
      </c>
      <c r="B31" s="433" t="s">
        <v>233</v>
      </c>
      <c r="C31" s="235" t="s">
        <v>233</v>
      </c>
    </row>
    <row r="32" spans="1:3">
      <c r="A32" s="432" t="s">
        <v>239</v>
      </c>
      <c r="B32" s="433" t="s">
        <v>233</v>
      </c>
      <c r="C32" s="235" t="s">
        <v>233</v>
      </c>
    </row>
    <row r="33" spans="1:3">
      <c r="A33" s="432" t="s">
        <v>238</v>
      </c>
      <c r="B33" s="433" t="s">
        <v>233</v>
      </c>
      <c r="C33" s="235" t="s">
        <v>233</v>
      </c>
    </row>
    <row r="34" spans="1:3">
      <c r="A34" s="432" t="s">
        <v>156</v>
      </c>
      <c r="B34" s="241">
        <f>'R&amp;P'!H310</f>
        <v>897132</v>
      </c>
      <c r="C34" s="242">
        <f>'R&amp;P'!I310</f>
        <v>897132</v>
      </c>
    </row>
    <row r="35" spans="1:3">
      <c r="A35" s="432" t="s">
        <v>296</v>
      </c>
      <c r="B35" s="241">
        <f>240000000+111724144</f>
        <v>351724144</v>
      </c>
      <c r="C35" s="241">
        <v>266724144</v>
      </c>
    </row>
    <row r="36" spans="1:3" ht="17.25" thickBot="1">
      <c r="A36" s="440" t="s">
        <v>297</v>
      </c>
      <c r="B36" s="441" t="s">
        <v>233</v>
      </c>
      <c r="C36" s="441" t="s">
        <v>233</v>
      </c>
    </row>
    <row r="37" spans="1:3" ht="17.25" thickBot="1">
      <c r="A37" s="233" t="s">
        <v>141</v>
      </c>
      <c r="B37" s="210">
        <f>SUM(B20:B36)</f>
        <v>352621276</v>
      </c>
      <c r="C37" s="243">
        <f>SUM(C20:C36)</f>
        <v>267621276</v>
      </c>
    </row>
    <row r="39" spans="1:3">
      <c r="A39" s="612" t="s">
        <v>808</v>
      </c>
      <c r="B39" s="612"/>
      <c r="C39" s="612"/>
    </row>
  </sheetData>
  <mergeCells count="4">
    <mergeCell ref="A1:C1"/>
    <mergeCell ref="A3:C3"/>
    <mergeCell ref="B4:C4"/>
    <mergeCell ref="A39:C39"/>
  </mergeCells>
  <phoneticPr fontId="0" type="noConversion"/>
  <printOptions horizontalCentered="1"/>
  <pageMargins left="0.19685039370078741" right="0.19685039370078741" top="0.39370078740157483" bottom="0.19685039370078741" header="0" footer="0"/>
  <pageSetup paperSize="9" scale="88" orientation="landscape" horizontalDpi="4294967293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3"/>
  <dimension ref="A1:I150"/>
  <sheetViews>
    <sheetView view="pageBreakPreview" topLeftCell="A58" zoomScaleSheetLayoutView="100" workbookViewId="0">
      <selection activeCell="E154" sqref="E154"/>
    </sheetView>
  </sheetViews>
  <sheetFormatPr defaultColWidth="9.140625" defaultRowHeight="15.75"/>
  <cols>
    <col min="1" max="1" width="63.28515625" style="211" bestFit="1" customWidth="1"/>
    <col min="2" max="2" width="14.85546875" style="211" customWidth="1"/>
    <col min="3" max="3" width="19.140625" style="211" customWidth="1"/>
    <col min="4" max="4" width="14.85546875" style="211" bestFit="1" customWidth="1"/>
    <col min="5" max="5" width="15.7109375" style="211" customWidth="1"/>
    <col min="6" max="6" width="12.5703125" style="211" bestFit="1" customWidth="1"/>
    <col min="7" max="16384" width="9.140625" style="211"/>
  </cols>
  <sheetData>
    <row r="1" spans="1:5">
      <c r="A1" s="596" t="s">
        <v>252</v>
      </c>
      <c r="B1" s="596"/>
      <c r="C1" s="596"/>
      <c r="D1" s="596"/>
      <c r="E1" s="596"/>
    </row>
    <row r="2" spans="1:5">
      <c r="A2" s="215"/>
      <c r="B2" s="215"/>
      <c r="C2" s="215"/>
      <c r="D2" s="215"/>
      <c r="E2" s="215"/>
    </row>
    <row r="3" spans="1:5">
      <c r="A3" s="597" t="s">
        <v>1116</v>
      </c>
      <c r="B3" s="597"/>
      <c r="C3" s="597"/>
      <c r="D3" s="597"/>
      <c r="E3" s="597"/>
    </row>
    <row r="4" spans="1:5" ht="16.5" thickBot="1">
      <c r="A4" s="216"/>
      <c r="B4" s="216"/>
      <c r="C4" s="216"/>
      <c r="D4" s="588" t="s">
        <v>1132</v>
      </c>
      <c r="E4" s="588"/>
    </row>
    <row r="5" spans="1:5" ht="16.5" thickBot="1">
      <c r="A5" s="217" t="s">
        <v>143</v>
      </c>
      <c r="B5" s="599" t="s">
        <v>409</v>
      </c>
      <c r="C5" s="600"/>
      <c r="D5" s="601" t="s">
        <v>410</v>
      </c>
      <c r="E5" s="602"/>
    </row>
    <row r="6" spans="1:5">
      <c r="A6" s="367" t="s">
        <v>144</v>
      </c>
      <c r="B6" s="240"/>
      <c r="C6" s="240"/>
      <c r="D6" s="240"/>
      <c r="E6" s="263"/>
    </row>
    <row r="7" spans="1:5">
      <c r="A7" s="442" t="s">
        <v>335</v>
      </c>
      <c r="B7" s="241"/>
      <c r="C7" s="241"/>
      <c r="D7" s="241"/>
      <c r="E7" s="242"/>
    </row>
    <row r="8" spans="1:5" s="443" customFormat="1">
      <c r="A8" s="336" t="s">
        <v>337</v>
      </c>
      <c r="B8" s="338">
        <v>22135645.309999999</v>
      </c>
      <c r="C8" s="219" t="s">
        <v>233</v>
      </c>
      <c r="D8" s="338">
        <v>18429547.289999999</v>
      </c>
      <c r="E8" s="219" t="s">
        <v>233</v>
      </c>
    </row>
    <row r="9" spans="1:5">
      <c r="A9" s="241" t="s">
        <v>338</v>
      </c>
      <c r="B9" s="219" t="s">
        <v>233</v>
      </c>
      <c r="C9" s="219" t="s">
        <v>233</v>
      </c>
      <c r="D9" s="220" t="s">
        <v>233</v>
      </c>
      <c r="E9" s="219" t="s">
        <v>233</v>
      </c>
    </row>
    <row r="10" spans="1:5">
      <c r="A10" s="241" t="s">
        <v>339</v>
      </c>
      <c r="B10" s="219" t="s">
        <v>233</v>
      </c>
      <c r="C10" s="219" t="s">
        <v>233</v>
      </c>
      <c r="D10" s="220" t="s">
        <v>233</v>
      </c>
      <c r="E10" s="219" t="s">
        <v>233</v>
      </c>
    </row>
    <row r="11" spans="1:5">
      <c r="A11" s="241" t="s">
        <v>340</v>
      </c>
      <c r="B11" s="219" t="s">
        <v>233</v>
      </c>
      <c r="C11" s="219" t="s">
        <v>233</v>
      </c>
      <c r="D11" s="220" t="s">
        <v>233</v>
      </c>
      <c r="E11" s="219" t="s">
        <v>233</v>
      </c>
    </row>
    <row r="12" spans="1:5">
      <c r="A12" s="241" t="s">
        <v>341</v>
      </c>
      <c r="B12" s="219" t="s">
        <v>233</v>
      </c>
      <c r="C12" s="219" t="s">
        <v>233</v>
      </c>
      <c r="D12" s="220" t="s">
        <v>233</v>
      </c>
      <c r="E12" s="219" t="s">
        <v>233</v>
      </c>
    </row>
    <row r="13" spans="1:5">
      <c r="A13" s="241" t="s">
        <v>342</v>
      </c>
      <c r="B13" s="219" t="s">
        <v>233</v>
      </c>
      <c r="C13" s="219" t="s">
        <v>233</v>
      </c>
      <c r="D13" s="220" t="s">
        <v>233</v>
      </c>
      <c r="E13" s="219" t="s">
        <v>233</v>
      </c>
    </row>
    <row r="14" spans="1:5">
      <c r="A14" s="241"/>
      <c r="B14" s="241"/>
      <c r="C14" s="241"/>
      <c r="D14" s="242"/>
      <c r="E14" s="241"/>
    </row>
    <row r="15" spans="1:5">
      <c r="A15" s="336" t="s">
        <v>336</v>
      </c>
      <c r="B15" s="219" t="s">
        <v>233</v>
      </c>
      <c r="C15" s="219" t="s">
        <v>233</v>
      </c>
      <c r="D15" s="220" t="s">
        <v>233</v>
      </c>
      <c r="E15" s="219" t="s">
        <v>233</v>
      </c>
    </row>
    <row r="16" spans="1:5">
      <c r="A16" s="241" t="s">
        <v>343</v>
      </c>
      <c r="B16" s="219" t="s">
        <v>233</v>
      </c>
      <c r="C16" s="219" t="s">
        <v>233</v>
      </c>
      <c r="D16" s="220" t="s">
        <v>233</v>
      </c>
      <c r="E16" s="219" t="s">
        <v>233</v>
      </c>
    </row>
    <row r="17" spans="1:9">
      <c r="A17" s="241" t="s">
        <v>344</v>
      </c>
      <c r="B17" s="219" t="s">
        <v>233</v>
      </c>
      <c r="C17" s="219" t="s">
        <v>233</v>
      </c>
      <c r="D17" s="220" t="s">
        <v>233</v>
      </c>
      <c r="E17" s="219" t="s">
        <v>233</v>
      </c>
    </row>
    <row r="18" spans="1:9">
      <c r="A18" s="249"/>
      <c r="B18" s="241"/>
      <c r="C18" s="241"/>
      <c r="D18" s="241"/>
      <c r="E18" s="241"/>
      <c r="I18" s="211" t="s">
        <v>1102</v>
      </c>
    </row>
    <row r="19" spans="1:9">
      <c r="A19" s="442" t="s">
        <v>372</v>
      </c>
      <c r="B19" s="241"/>
      <c r="C19" s="241"/>
      <c r="D19" s="241"/>
      <c r="E19" s="241"/>
    </row>
    <row r="20" spans="1:9">
      <c r="A20" s="442" t="s">
        <v>299</v>
      </c>
      <c r="B20" s="241"/>
      <c r="C20" s="241"/>
      <c r="D20" s="241"/>
      <c r="E20" s="241"/>
    </row>
    <row r="21" spans="1:9">
      <c r="A21" s="249" t="s">
        <v>739</v>
      </c>
      <c r="B21" s="241">
        <v>2000</v>
      </c>
      <c r="C21" s="219" t="s">
        <v>233</v>
      </c>
      <c r="D21" s="241">
        <v>2000</v>
      </c>
      <c r="E21" s="219" t="s">
        <v>233</v>
      </c>
    </row>
    <row r="22" spans="1:9">
      <c r="A22" s="249" t="s">
        <v>661</v>
      </c>
      <c r="B22" s="241">
        <v>5000</v>
      </c>
      <c r="C22" s="219" t="s">
        <v>233</v>
      </c>
      <c r="D22" s="241">
        <v>5000</v>
      </c>
      <c r="E22" s="219" t="s">
        <v>233</v>
      </c>
    </row>
    <row r="23" spans="1:9">
      <c r="A23" s="249" t="s">
        <v>660</v>
      </c>
      <c r="B23" s="241">
        <v>2000</v>
      </c>
      <c r="C23" s="219" t="s">
        <v>233</v>
      </c>
      <c r="D23" s="241">
        <v>2000</v>
      </c>
      <c r="E23" s="219" t="s">
        <v>233</v>
      </c>
    </row>
    <row r="24" spans="1:9">
      <c r="A24" s="249" t="s">
        <v>738</v>
      </c>
      <c r="B24" s="241">
        <f>2000+2000</f>
        <v>4000</v>
      </c>
      <c r="C24" s="219" t="s">
        <v>233</v>
      </c>
      <c r="D24" s="241">
        <v>2000</v>
      </c>
      <c r="E24" s="219" t="s">
        <v>233</v>
      </c>
    </row>
    <row r="25" spans="1:9">
      <c r="A25" s="249" t="s">
        <v>863</v>
      </c>
      <c r="B25" s="241">
        <v>2000</v>
      </c>
      <c r="C25" s="219" t="s">
        <v>233</v>
      </c>
      <c r="D25" s="241">
        <v>2000</v>
      </c>
      <c r="E25" s="219" t="s">
        <v>233</v>
      </c>
    </row>
    <row r="26" spans="1:9">
      <c r="A26" s="249" t="s">
        <v>864</v>
      </c>
      <c r="B26" s="241">
        <f>2000+2000</f>
        <v>4000</v>
      </c>
      <c r="C26" s="219" t="s">
        <v>233</v>
      </c>
      <c r="D26" s="241">
        <v>2000</v>
      </c>
      <c r="E26" s="219" t="s">
        <v>233</v>
      </c>
    </row>
    <row r="27" spans="1:9">
      <c r="A27" s="249" t="s">
        <v>865</v>
      </c>
      <c r="B27" s="219" t="s">
        <v>233</v>
      </c>
      <c r="C27" s="219" t="s">
        <v>233</v>
      </c>
      <c r="D27" s="219" t="s">
        <v>233</v>
      </c>
      <c r="E27" s="219" t="s">
        <v>233</v>
      </c>
    </row>
    <row r="28" spans="1:9" ht="16.5" thickBot="1">
      <c r="A28" s="342" t="s">
        <v>866</v>
      </c>
      <c r="B28" s="247">
        <v>4000</v>
      </c>
      <c r="C28" s="335" t="s">
        <v>233</v>
      </c>
      <c r="D28" s="247">
        <v>4000</v>
      </c>
      <c r="E28" s="335" t="s">
        <v>233</v>
      </c>
    </row>
    <row r="29" spans="1:9">
      <c r="A29" s="613" t="s">
        <v>1451</v>
      </c>
      <c r="B29" s="613"/>
      <c r="C29" s="613"/>
      <c r="D29" s="613"/>
      <c r="E29" s="613"/>
    </row>
    <row r="30" spans="1:9">
      <c r="A30" s="544"/>
      <c r="B30" s="544"/>
      <c r="C30" s="544"/>
      <c r="D30" s="544"/>
      <c r="E30" s="544"/>
    </row>
    <row r="31" spans="1:9">
      <c r="A31" s="544"/>
      <c r="B31" s="544"/>
      <c r="C31" s="544"/>
      <c r="D31" s="544"/>
      <c r="E31" s="544"/>
    </row>
    <row r="32" spans="1:9">
      <c r="A32" s="544"/>
      <c r="B32" s="544"/>
      <c r="C32" s="544"/>
      <c r="D32" s="544"/>
      <c r="E32" s="544"/>
    </row>
    <row r="33" spans="1:5">
      <c r="A33" s="544"/>
      <c r="B33" s="544"/>
      <c r="C33" s="544"/>
      <c r="D33" s="544"/>
      <c r="E33" s="544"/>
    </row>
    <row r="34" spans="1:5">
      <c r="A34" s="544"/>
      <c r="B34" s="544"/>
      <c r="C34" s="544"/>
      <c r="D34" s="544"/>
      <c r="E34" s="544"/>
    </row>
    <row r="35" spans="1:5">
      <c r="A35" s="544"/>
      <c r="B35" s="544"/>
      <c r="C35" s="544"/>
      <c r="D35" s="544"/>
      <c r="E35" s="544"/>
    </row>
    <row r="37" spans="1:5" ht="16.5" thickBot="1">
      <c r="A37" s="570" t="s">
        <v>809</v>
      </c>
      <c r="B37" s="570"/>
      <c r="C37" s="570"/>
      <c r="D37" s="570"/>
      <c r="E37" s="570"/>
    </row>
    <row r="38" spans="1:5">
      <c r="A38" s="444" t="s">
        <v>867</v>
      </c>
      <c r="B38" s="240">
        <v>3000</v>
      </c>
      <c r="C38" s="374" t="s">
        <v>233</v>
      </c>
      <c r="D38" s="240">
        <v>3000</v>
      </c>
      <c r="E38" s="374" t="s">
        <v>233</v>
      </c>
    </row>
    <row r="39" spans="1:5">
      <c r="A39" s="249" t="s">
        <v>868</v>
      </c>
      <c r="B39" s="241">
        <v>2000</v>
      </c>
      <c r="C39" s="219" t="s">
        <v>233</v>
      </c>
      <c r="D39" s="241">
        <v>2000</v>
      </c>
      <c r="E39" s="219" t="s">
        <v>233</v>
      </c>
    </row>
    <row r="40" spans="1:5">
      <c r="A40" s="249" t="s">
        <v>869</v>
      </c>
      <c r="B40" s="241">
        <v>2000</v>
      </c>
      <c r="C40" s="219" t="s">
        <v>233</v>
      </c>
      <c r="D40" s="241">
        <v>2000</v>
      </c>
      <c r="E40" s="219" t="s">
        <v>233</v>
      </c>
    </row>
    <row r="41" spans="1:5">
      <c r="A41" s="249" t="s">
        <v>870</v>
      </c>
      <c r="B41" s="241">
        <v>5000</v>
      </c>
      <c r="C41" s="219" t="s">
        <v>233</v>
      </c>
      <c r="D41" s="241">
        <v>5000</v>
      </c>
      <c r="E41" s="219" t="s">
        <v>233</v>
      </c>
    </row>
    <row r="42" spans="1:5">
      <c r="A42" s="249" t="s">
        <v>871</v>
      </c>
      <c r="B42" s="241">
        <v>2000</v>
      </c>
      <c r="C42" s="219" t="s">
        <v>233</v>
      </c>
      <c r="D42" s="241">
        <v>2000</v>
      </c>
      <c r="E42" s="219" t="s">
        <v>233</v>
      </c>
    </row>
    <row r="43" spans="1:5">
      <c r="A43" s="249" t="s">
        <v>872</v>
      </c>
      <c r="B43" s="241">
        <v>2000</v>
      </c>
      <c r="C43" s="219" t="s">
        <v>233</v>
      </c>
      <c r="D43" s="241">
        <v>2000</v>
      </c>
      <c r="E43" s="219" t="s">
        <v>233</v>
      </c>
    </row>
    <row r="44" spans="1:5">
      <c r="A44" s="249" t="s">
        <v>873</v>
      </c>
      <c r="B44" s="241">
        <v>2000</v>
      </c>
      <c r="C44" s="219" t="s">
        <v>233</v>
      </c>
      <c r="D44" s="241">
        <v>2000</v>
      </c>
      <c r="E44" s="219" t="s">
        <v>233</v>
      </c>
    </row>
    <row r="45" spans="1:5">
      <c r="A45" s="249" t="s">
        <v>874</v>
      </c>
      <c r="B45" s="241">
        <v>7000</v>
      </c>
      <c r="C45" s="219" t="s">
        <v>233</v>
      </c>
      <c r="D45" s="241">
        <v>7000</v>
      </c>
      <c r="E45" s="219" t="s">
        <v>233</v>
      </c>
    </row>
    <row r="46" spans="1:5">
      <c r="A46" s="241" t="s">
        <v>875</v>
      </c>
      <c r="B46" s="219" t="s">
        <v>233</v>
      </c>
      <c r="C46" s="219" t="s">
        <v>233</v>
      </c>
      <c r="D46" s="220" t="s">
        <v>233</v>
      </c>
      <c r="E46" s="219" t="s">
        <v>233</v>
      </c>
    </row>
    <row r="47" spans="1:5">
      <c r="A47" s="241" t="s">
        <v>876</v>
      </c>
      <c r="B47" s="219" t="s">
        <v>233</v>
      </c>
      <c r="C47" s="219" t="s">
        <v>233</v>
      </c>
      <c r="D47" s="242">
        <v>15000</v>
      </c>
      <c r="E47" s="219" t="s">
        <v>233</v>
      </c>
    </row>
    <row r="48" spans="1:5">
      <c r="A48" s="241" t="s">
        <v>877</v>
      </c>
      <c r="B48" s="219" t="s">
        <v>233</v>
      </c>
      <c r="C48" s="219" t="s">
        <v>233</v>
      </c>
      <c r="D48" s="220" t="s">
        <v>233</v>
      </c>
      <c r="E48" s="219" t="s">
        <v>233</v>
      </c>
    </row>
    <row r="49" spans="1:5">
      <c r="A49" s="241" t="s">
        <v>878</v>
      </c>
      <c r="B49" s="242">
        <v>4000</v>
      </c>
      <c r="C49" s="219" t="s">
        <v>233</v>
      </c>
      <c r="D49" s="242">
        <v>4000</v>
      </c>
      <c r="E49" s="219" t="s">
        <v>233</v>
      </c>
    </row>
    <row r="50" spans="1:5">
      <c r="A50" s="249" t="s">
        <v>879</v>
      </c>
      <c r="B50" s="241">
        <v>5000</v>
      </c>
      <c r="C50" s="219" t="s">
        <v>233</v>
      </c>
      <c r="D50" s="241">
        <v>5000</v>
      </c>
      <c r="E50" s="219" t="s">
        <v>233</v>
      </c>
    </row>
    <row r="51" spans="1:5">
      <c r="A51" s="249" t="s">
        <v>880</v>
      </c>
      <c r="B51" s="241">
        <v>2000</v>
      </c>
      <c r="C51" s="219" t="s">
        <v>233</v>
      </c>
      <c r="D51" s="241">
        <v>2000</v>
      </c>
      <c r="E51" s="219" t="s">
        <v>233</v>
      </c>
    </row>
    <row r="52" spans="1:5">
      <c r="A52" s="249" t="s">
        <v>881</v>
      </c>
      <c r="B52" s="241">
        <v>5000</v>
      </c>
      <c r="C52" s="219" t="s">
        <v>233</v>
      </c>
      <c r="D52" s="241">
        <v>5000</v>
      </c>
      <c r="E52" s="219" t="s">
        <v>233</v>
      </c>
    </row>
    <row r="53" spans="1:5">
      <c r="A53" s="249" t="s">
        <v>882</v>
      </c>
      <c r="B53" s="241">
        <v>2000</v>
      </c>
      <c r="C53" s="219" t="s">
        <v>233</v>
      </c>
      <c r="D53" s="241">
        <v>2000</v>
      </c>
      <c r="E53" s="219" t="s">
        <v>233</v>
      </c>
    </row>
    <row r="54" spans="1:5">
      <c r="A54" s="249" t="s">
        <v>883</v>
      </c>
      <c r="B54" s="241">
        <v>2000</v>
      </c>
      <c r="C54" s="219" t="s">
        <v>233</v>
      </c>
      <c r="D54" s="241">
        <v>2000</v>
      </c>
      <c r="E54" s="219" t="s">
        <v>233</v>
      </c>
    </row>
    <row r="55" spans="1:5">
      <c r="A55" s="249" t="s">
        <v>884</v>
      </c>
      <c r="B55" s="241">
        <v>2000</v>
      </c>
      <c r="C55" s="219" t="s">
        <v>233</v>
      </c>
      <c r="D55" s="241">
        <v>2000</v>
      </c>
      <c r="E55" s="219" t="s">
        <v>233</v>
      </c>
    </row>
    <row r="56" spans="1:5">
      <c r="A56" s="252" t="s">
        <v>885</v>
      </c>
      <c r="B56" s="321">
        <v>2000</v>
      </c>
      <c r="C56" s="375" t="s">
        <v>233</v>
      </c>
      <c r="D56" s="321">
        <v>2000</v>
      </c>
      <c r="E56" s="375" t="s">
        <v>233</v>
      </c>
    </row>
    <row r="57" spans="1:5">
      <c r="A57" s="252" t="s">
        <v>1089</v>
      </c>
      <c r="B57" s="321">
        <v>2500</v>
      </c>
      <c r="C57" s="375" t="s">
        <v>233</v>
      </c>
      <c r="D57" s="321">
        <v>2000</v>
      </c>
      <c r="E57" s="375" t="s">
        <v>233</v>
      </c>
    </row>
    <row r="58" spans="1:5">
      <c r="A58" s="252" t="s">
        <v>1090</v>
      </c>
      <c r="B58" s="321">
        <v>2000</v>
      </c>
      <c r="C58" s="375" t="s">
        <v>233</v>
      </c>
      <c r="D58" s="321">
        <v>2000</v>
      </c>
      <c r="E58" s="375" t="s">
        <v>233</v>
      </c>
    </row>
    <row r="59" spans="1:5">
      <c r="A59" s="252" t="s">
        <v>1091</v>
      </c>
      <c r="B59" s="321">
        <v>2000</v>
      </c>
      <c r="C59" s="375" t="s">
        <v>233</v>
      </c>
      <c r="D59" s="321">
        <v>2000</v>
      </c>
      <c r="E59" s="375" t="s">
        <v>233</v>
      </c>
    </row>
    <row r="60" spans="1:5">
      <c r="A60" s="252" t="s">
        <v>1092</v>
      </c>
      <c r="B60" s="321">
        <v>2000</v>
      </c>
      <c r="C60" s="375" t="s">
        <v>233</v>
      </c>
      <c r="D60" s="321">
        <v>2000</v>
      </c>
      <c r="E60" s="375" t="s">
        <v>233</v>
      </c>
    </row>
    <row r="61" spans="1:5">
      <c r="A61" s="252" t="s">
        <v>1093</v>
      </c>
      <c r="B61" s="321">
        <v>2000</v>
      </c>
      <c r="C61" s="375" t="s">
        <v>233</v>
      </c>
      <c r="D61" s="321">
        <v>2000</v>
      </c>
      <c r="E61" s="375" t="s">
        <v>233</v>
      </c>
    </row>
    <row r="62" spans="1:5">
      <c r="A62" s="252" t="s">
        <v>1094</v>
      </c>
      <c r="B62" s="321">
        <v>5000</v>
      </c>
      <c r="C62" s="375" t="s">
        <v>233</v>
      </c>
      <c r="D62" s="321">
        <v>5000</v>
      </c>
      <c r="E62" s="375" t="s">
        <v>233</v>
      </c>
    </row>
    <row r="63" spans="1:5" ht="16.5" thickBot="1">
      <c r="A63" s="247" t="s">
        <v>1138</v>
      </c>
      <c r="B63" s="247">
        <v>15000</v>
      </c>
      <c r="C63" s="335" t="s">
        <v>233</v>
      </c>
      <c r="D63" s="335" t="s">
        <v>233</v>
      </c>
      <c r="E63" s="335" t="s">
        <v>233</v>
      </c>
    </row>
    <row r="64" spans="1:5">
      <c r="A64" s="613" t="s">
        <v>1452</v>
      </c>
      <c r="B64" s="613"/>
      <c r="C64" s="613"/>
      <c r="D64" s="613"/>
      <c r="E64" s="613"/>
    </row>
    <row r="65" spans="1:5">
      <c r="A65" s="544"/>
      <c r="B65" s="544"/>
      <c r="C65" s="544"/>
      <c r="D65" s="544"/>
      <c r="E65" s="544"/>
    </row>
    <row r="66" spans="1:5">
      <c r="A66" s="544"/>
      <c r="B66" s="544"/>
      <c r="C66" s="544"/>
      <c r="D66" s="544"/>
      <c r="E66" s="544"/>
    </row>
    <row r="67" spans="1:5">
      <c r="A67" s="544"/>
      <c r="B67" s="544"/>
      <c r="C67" s="544"/>
      <c r="D67" s="544"/>
      <c r="E67" s="544"/>
    </row>
    <row r="68" spans="1:5">
      <c r="A68" s="544"/>
      <c r="B68" s="544"/>
      <c r="C68" s="544"/>
      <c r="D68" s="544"/>
      <c r="E68" s="544"/>
    </row>
    <row r="69" spans="1:5">
      <c r="A69" s="544"/>
      <c r="B69" s="544"/>
      <c r="C69" s="544"/>
      <c r="D69" s="544"/>
      <c r="E69" s="544"/>
    </row>
    <row r="70" spans="1:5">
      <c r="A70" s="544"/>
      <c r="B70" s="544"/>
      <c r="C70" s="544"/>
      <c r="D70" s="544"/>
      <c r="E70" s="544"/>
    </row>
    <row r="71" spans="1:5">
      <c r="A71" s="544"/>
      <c r="B71" s="544"/>
      <c r="C71" s="544"/>
      <c r="D71" s="544"/>
      <c r="E71" s="544"/>
    </row>
    <row r="72" spans="1:5">
      <c r="A72" s="544"/>
      <c r="B72" s="544"/>
      <c r="C72" s="544"/>
      <c r="D72" s="544"/>
      <c r="E72" s="544"/>
    </row>
    <row r="73" spans="1:5">
      <c r="A73" s="544"/>
      <c r="B73" s="544"/>
      <c r="C73" s="544"/>
      <c r="D73" s="544"/>
      <c r="E73" s="544"/>
    </row>
    <row r="74" spans="1:5">
      <c r="A74" s="570" t="s">
        <v>810</v>
      </c>
      <c r="B74" s="570"/>
      <c r="C74" s="570"/>
      <c r="D74" s="570"/>
      <c r="E74" s="570"/>
    </row>
    <row r="75" spans="1:5">
      <c r="A75" s="596" t="s">
        <v>252</v>
      </c>
      <c r="B75" s="596"/>
      <c r="C75" s="596"/>
      <c r="D75" s="596"/>
      <c r="E75" s="596"/>
    </row>
    <row r="76" spans="1:5">
      <c r="A76" s="215"/>
      <c r="B76" s="215"/>
      <c r="C76" s="215"/>
      <c r="D76" s="215"/>
      <c r="E76" s="215"/>
    </row>
    <row r="77" spans="1:5">
      <c r="A77" s="597" t="s">
        <v>1116</v>
      </c>
      <c r="B77" s="597"/>
      <c r="C77" s="597"/>
      <c r="D77" s="597"/>
      <c r="E77" s="597"/>
    </row>
    <row r="78" spans="1:5">
      <c r="A78" s="216"/>
      <c r="B78" s="216"/>
      <c r="C78" s="216"/>
      <c r="D78" s="588" t="s">
        <v>1132</v>
      </c>
      <c r="E78" s="588"/>
    </row>
    <row r="79" spans="1:5" ht="16.5" thickBot="1"/>
    <row r="80" spans="1:5" ht="16.5" thickBot="1">
      <c r="A80" s="217" t="s">
        <v>94</v>
      </c>
      <c r="B80" s="601" t="s">
        <v>409</v>
      </c>
      <c r="C80" s="602"/>
      <c r="D80" s="601" t="s">
        <v>410</v>
      </c>
      <c r="E80" s="602"/>
    </row>
    <row r="81" spans="1:5">
      <c r="A81" s="319" t="s">
        <v>515</v>
      </c>
      <c r="B81" s="241"/>
      <c r="C81" s="219"/>
      <c r="D81" s="241"/>
      <c r="E81" s="219"/>
    </row>
    <row r="82" spans="1:5" s="443" customFormat="1">
      <c r="A82" s="204" t="s">
        <v>357</v>
      </c>
      <c r="B82" s="219" t="s">
        <v>233</v>
      </c>
      <c r="C82" s="219" t="s">
        <v>233</v>
      </c>
      <c r="D82" s="241">
        <v>259</v>
      </c>
      <c r="E82" s="219" t="s">
        <v>233</v>
      </c>
    </row>
    <row r="83" spans="1:5" s="443" customFormat="1">
      <c r="A83" s="204" t="s">
        <v>358</v>
      </c>
      <c r="B83" s="241">
        <v>17170</v>
      </c>
      <c r="C83" s="219" t="s">
        <v>233</v>
      </c>
      <c r="D83" s="241">
        <v>431</v>
      </c>
      <c r="E83" s="219" t="s">
        <v>233</v>
      </c>
    </row>
    <row r="84" spans="1:5" s="443" customFormat="1">
      <c r="A84" s="204" t="s">
        <v>359</v>
      </c>
      <c r="B84" s="241">
        <v>30000</v>
      </c>
      <c r="C84" s="219" t="s">
        <v>233</v>
      </c>
      <c r="D84" s="241">
        <v>30000</v>
      </c>
      <c r="E84" s="219" t="s">
        <v>233</v>
      </c>
    </row>
    <row r="85" spans="1:5" ht="14.25" customHeight="1">
      <c r="A85" s="204" t="s">
        <v>300</v>
      </c>
      <c r="B85" s="241">
        <v>1377</v>
      </c>
      <c r="C85" s="219" t="s">
        <v>233</v>
      </c>
      <c r="D85" s="241">
        <v>1248</v>
      </c>
      <c r="E85" s="219" t="s">
        <v>233</v>
      </c>
    </row>
    <row r="86" spans="1:5" ht="14.25" customHeight="1">
      <c r="A86" s="204" t="s">
        <v>886</v>
      </c>
      <c r="B86" s="241">
        <v>1401</v>
      </c>
      <c r="C86" s="219" t="s">
        <v>233</v>
      </c>
      <c r="D86" s="241">
        <v>11577</v>
      </c>
      <c r="E86" s="219" t="s">
        <v>233</v>
      </c>
    </row>
    <row r="87" spans="1:5">
      <c r="A87" s="204"/>
      <c r="B87" s="219" t="s">
        <v>233</v>
      </c>
      <c r="C87" s="336">
        <f>SUM(B21:B28,B38:B63,B82:B87)</f>
        <v>152448</v>
      </c>
      <c r="D87" s="219" t="s">
        <v>233</v>
      </c>
      <c r="E87" s="336">
        <f>SUM(D21:D28,D38:D63,D82:D86)</f>
        <v>141515</v>
      </c>
    </row>
    <row r="88" spans="1:5">
      <c r="A88" s="249" t="s">
        <v>484</v>
      </c>
      <c r="B88" s="241"/>
      <c r="C88" s="241"/>
      <c r="D88" s="241"/>
      <c r="E88" s="219"/>
    </row>
    <row r="89" spans="1:5" s="443" customFormat="1">
      <c r="A89" s="204" t="s">
        <v>360</v>
      </c>
      <c r="B89" s="241">
        <v>107524799.56999999</v>
      </c>
      <c r="C89" s="219" t="s">
        <v>233</v>
      </c>
      <c r="D89" s="241">
        <v>56276995.990000002</v>
      </c>
      <c r="E89" s="219" t="s">
        <v>233</v>
      </c>
    </row>
    <row r="90" spans="1:5" s="443" customFormat="1">
      <c r="A90" s="204" t="s">
        <v>852</v>
      </c>
      <c r="B90" s="241">
        <v>897.37</v>
      </c>
      <c r="C90" s="219" t="s">
        <v>233</v>
      </c>
      <c r="D90" s="241">
        <v>897.37</v>
      </c>
      <c r="E90" s="219" t="s">
        <v>233</v>
      </c>
    </row>
    <row r="91" spans="1:5" s="443" customFormat="1">
      <c r="A91" s="204" t="s">
        <v>887</v>
      </c>
      <c r="B91" s="241">
        <v>1409160</v>
      </c>
      <c r="C91" s="219" t="s">
        <v>233</v>
      </c>
      <c r="D91" s="241">
        <v>249773</v>
      </c>
      <c r="E91" s="219" t="s">
        <v>233</v>
      </c>
    </row>
    <row r="92" spans="1:5" s="443" customFormat="1">
      <c r="A92" s="204" t="s">
        <v>888</v>
      </c>
      <c r="B92" s="241">
        <v>500000</v>
      </c>
      <c r="C92" s="219" t="s">
        <v>233</v>
      </c>
      <c r="D92" s="241">
        <v>500000</v>
      </c>
      <c r="E92" s="219" t="s">
        <v>233</v>
      </c>
    </row>
    <row r="93" spans="1:5" s="443" customFormat="1">
      <c r="A93" s="204" t="s">
        <v>889</v>
      </c>
      <c r="B93" s="241">
        <v>1993</v>
      </c>
      <c r="C93" s="219" t="s">
        <v>233</v>
      </c>
      <c r="D93" s="241">
        <v>1993</v>
      </c>
      <c r="E93" s="219" t="s">
        <v>233</v>
      </c>
    </row>
    <row r="94" spans="1:5" s="443" customFormat="1">
      <c r="A94" s="204" t="s">
        <v>890</v>
      </c>
      <c r="B94" s="226">
        <v>3991116.5</v>
      </c>
      <c r="C94" s="219" t="s">
        <v>233</v>
      </c>
      <c r="D94" s="241">
        <v>3097623</v>
      </c>
      <c r="E94" s="219" t="s">
        <v>233</v>
      </c>
    </row>
    <row r="95" spans="1:5" s="443" customFormat="1">
      <c r="A95" s="204" t="s">
        <v>891</v>
      </c>
      <c r="B95" s="241">
        <v>287085</v>
      </c>
      <c r="C95" s="219" t="s">
        <v>233</v>
      </c>
      <c r="D95" s="241">
        <f>573147-40000</f>
        <v>533147</v>
      </c>
      <c r="E95" s="219" t="s">
        <v>233</v>
      </c>
    </row>
    <row r="96" spans="1:5" s="443" customFormat="1">
      <c r="A96" s="204" t="s">
        <v>892</v>
      </c>
      <c r="B96" s="219" t="s">
        <v>233</v>
      </c>
      <c r="C96" s="219" t="s">
        <v>233</v>
      </c>
      <c r="D96" s="219" t="s">
        <v>233</v>
      </c>
      <c r="E96" s="219" t="s">
        <v>233</v>
      </c>
    </row>
    <row r="97" spans="1:5">
      <c r="A97" s="204" t="s">
        <v>893</v>
      </c>
      <c r="B97" s="226">
        <v>22271066.5</v>
      </c>
      <c r="C97" s="219" t="s">
        <v>233</v>
      </c>
      <c r="D97" s="241">
        <v>18790964</v>
      </c>
      <c r="E97" s="219" t="s">
        <v>233</v>
      </c>
    </row>
    <row r="98" spans="1:5" s="443" customFormat="1">
      <c r="A98" s="204" t="s">
        <v>894</v>
      </c>
      <c r="B98" s="241">
        <v>12800</v>
      </c>
      <c r="C98" s="219" t="s">
        <v>233</v>
      </c>
      <c r="D98" s="241">
        <v>125500</v>
      </c>
      <c r="E98" s="219" t="s">
        <v>233</v>
      </c>
    </row>
    <row r="99" spans="1:5" s="443" customFormat="1">
      <c r="A99" s="204" t="s">
        <v>895</v>
      </c>
      <c r="B99" s="241">
        <v>3147168.5</v>
      </c>
      <c r="C99" s="219" t="s">
        <v>233</v>
      </c>
      <c r="D99" s="241">
        <v>2571773</v>
      </c>
      <c r="E99" s="219" t="s">
        <v>233</v>
      </c>
    </row>
    <row r="100" spans="1:5" s="443" customFormat="1">
      <c r="A100" s="204" t="s">
        <v>896</v>
      </c>
      <c r="B100" s="241">
        <v>265608</v>
      </c>
      <c r="C100" s="219" t="s">
        <v>233</v>
      </c>
      <c r="D100" s="241">
        <v>226577</v>
      </c>
      <c r="E100" s="219" t="s">
        <v>233</v>
      </c>
    </row>
    <row r="101" spans="1:5" s="443" customFormat="1">
      <c r="A101" s="204" t="s">
        <v>897</v>
      </c>
      <c r="B101" s="241">
        <v>14238657</v>
      </c>
      <c r="C101" s="219" t="s">
        <v>233</v>
      </c>
      <c r="D101" s="241">
        <v>8083682</v>
      </c>
      <c r="E101" s="219" t="s">
        <v>233</v>
      </c>
    </row>
    <row r="102" spans="1:5" s="443" customFormat="1">
      <c r="A102" s="204" t="s">
        <v>898</v>
      </c>
      <c r="B102" s="241">
        <v>5558517</v>
      </c>
      <c r="C102" s="219" t="s">
        <v>233</v>
      </c>
      <c r="D102" s="241">
        <v>5804055</v>
      </c>
      <c r="E102" s="219" t="s">
        <v>233</v>
      </c>
    </row>
    <row r="103" spans="1:5" s="443" customFormat="1">
      <c r="A103" s="204" t="s">
        <v>899</v>
      </c>
      <c r="B103" s="241">
        <v>3352.5</v>
      </c>
      <c r="C103" s="219" t="s">
        <v>233</v>
      </c>
      <c r="D103" s="241">
        <v>853389.5</v>
      </c>
      <c r="E103" s="219" t="s">
        <v>233</v>
      </c>
    </row>
    <row r="104" spans="1:5" s="443" customFormat="1">
      <c r="A104" s="249" t="s">
        <v>900</v>
      </c>
      <c r="B104" s="241">
        <v>54514</v>
      </c>
      <c r="C104" s="219" t="s">
        <v>233</v>
      </c>
      <c r="D104" s="241">
        <v>52397</v>
      </c>
      <c r="E104" s="219" t="s">
        <v>233</v>
      </c>
    </row>
    <row r="105" spans="1:5" s="443" customFormat="1">
      <c r="A105" s="249" t="s">
        <v>901</v>
      </c>
      <c r="B105" s="241">
        <v>14537</v>
      </c>
      <c r="C105" s="219" t="s">
        <v>233</v>
      </c>
      <c r="D105" s="241">
        <v>13973</v>
      </c>
      <c r="E105" s="219" t="s">
        <v>233</v>
      </c>
    </row>
    <row r="106" spans="1:5" s="443" customFormat="1">
      <c r="A106" s="249" t="s">
        <v>902</v>
      </c>
      <c r="B106" s="241">
        <v>3214311</v>
      </c>
      <c r="C106" s="219" t="s">
        <v>233</v>
      </c>
      <c r="D106" s="241">
        <f>1112668+40000</f>
        <v>1152668</v>
      </c>
      <c r="E106" s="219" t="s">
        <v>233</v>
      </c>
    </row>
    <row r="107" spans="1:5" s="443" customFormat="1" ht="16.5" thickBot="1">
      <c r="A107" s="323" t="s">
        <v>903</v>
      </c>
      <c r="B107" s="247">
        <v>148797</v>
      </c>
      <c r="C107" s="335" t="s">
        <v>233</v>
      </c>
      <c r="D107" s="247">
        <v>184223</v>
      </c>
      <c r="E107" s="335" t="s">
        <v>233</v>
      </c>
    </row>
    <row r="108" spans="1:5" s="443" customFormat="1">
      <c r="A108" s="613" t="s">
        <v>1453</v>
      </c>
      <c r="B108" s="613"/>
      <c r="C108" s="613"/>
      <c r="D108" s="613"/>
      <c r="E108" s="613"/>
    </row>
    <row r="109" spans="1:5" s="443" customFormat="1">
      <c r="A109" s="544"/>
      <c r="B109" s="544"/>
      <c r="C109" s="544"/>
      <c r="D109" s="544"/>
      <c r="E109" s="544"/>
    </row>
    <row r="110" spans="1:5" s="443" customFormat="1">
      <c r="A110" s="544"/>
      <c r="B110" s="544"/>
      <c r="C110" s="544"/>
      <c r="D110" s="544"/>
      <c r="E110" s="544"/>
    </row>
    <row r="111" spans="1:5" s="443" customFormat="1"/>
    <row r="112" spans="1:5" s="443" customFormat="1" ht="16.5" thickBot="1">
      <c r="A112" s="570" t="s">
        <v>811</v>
      </c>
      <c r="B112" s="570"/>
      <c r="C112" s="570"/>
      <c r="D112" s="570"/>
      <c r="E112" s="570"/>
    </row>
    <row r="113" spans="1:9" s="443" customFormat="1">
      <c r="A113" s="324" t="s">
        <v>1023</v>
      </c>
      <c r="B113" s="240">
        <v>1182</v>
      </c>
      <c r="C113" s="374" t="s">
        <v>233</v>
      </c>
      <c r="D113" s="240">
        <v>1139</v>
      </c>
      <c r="E113" s="374" t="s">
        <v>233</v>
      </c>
    </row>
    <row r="114" spans="1:9" s="443" customFormat="1">
      <c r="A114" s="204" t="s">
        <v>417</v>
      </c>
      <c r="B114" s="241"/>
      <c r="C114" s="336"/>
      <c r="D114" s="241"/>
      <c r="E114" s="336"/>
    </row>
    <row r="115" spans="1:9" s="443" customFormat="1">
      <c r="A115" s="204" t="s">
        <v>1024</v>
      </c>
      <c r="B115" s="241">
        <v>9091269</v>
      </c>
      <c r="C115" s="219" t="s">
        <v>233</v>
      </c>
      <c r="D115" s="241">
        <v>6909741</v>
      </c>
      <c r="E115" s="219" t="s">
        <v>233</v>
      </c>
    </row>
    <row r="116" spans="1:9" s="443" customFormat="1">
      <c r="A116" s="204" t="s">
        <v>1025</v>
      </c>
      <c r="B116" s="241">
        <v>1427330</v>
      </c>
      <c r="C116" s="219" t="s">
        <v>233</v>
      </c>
      <c r="D116" s="241">
        <v>1570905</v>
      </c>
      <c r="E116" s="219" t="s">
        <v>233</v>
      </c>
    </row>
    <row r="117" spans="1:9" s="443" customFormat="1">
      <c r="A117" s="204" t="s">
        <v>1026</v>
      </c>
      <c r="B117" s="241">
        <v>377500</v>
      </c>
      <c r="C117" s="219" t="s">
        <v>233</v>
      </c>
      <c r="D117" s="241">
        <v>377500</v>
      </c>
      <c r="E117" s="219" t="s">
        <v>233</v>
      </c>
    </row>
    <row r="118" spans="1:9" s="443" customFormat="1">
      <c r="A118" s="204" t="s">
        <v>1027</v>
      </c>
      <c r="B118" s="241">
        <v>2076</v>
      </c>
      <c r="C118" s="219" t="s">
        <v>233</v>
      </c>
      <c r="D118" s="241">
        <v>22209</v>
      </c>
      <c r="E118" s="219" t="s">
        <v>233</v>
      </c>
    </row>
    <row r="119" spans="1:9" s="443" customFormat="1">
      <c r="A119" s="204" t="s">
        <v>1028</v>
      </c>
      <c r="B119" s="241">
        <v>12922082</v>
      </c>
      <c r="C119" s="219" t="s">
        <v>233</v>
      </c>
      <c r="D119" s="241">
        <v>8357912</v>
      </c>
      <c r="E119" s="219" t="s">
        <v>233</v>
      </c>
    </row>
    <row r="120" spans="1:9" s="443" customFormat="1">
      <c r="A120" s="204" t="s">
        <v>1029</v>
      </c>
      <c r="B120" s="241">
        <v>4850256</v>
      </c>
      <c r="C120" s="219" t="s">
        <v>233</v>
      </c>
      <c r="D120" s="241">
        <v>1887467</v>
      </c>
      <c r="E120" s="219" t="s">
        <v>233</v>
      </c>
    </row>
    <row r="121" spans="1:9">
      <c r="A121" s="322" t="s">
        <v>1030</v>
      </c>
      <c r="B121" s="241">
        <v>181808</v>
      </c>
      <c r="C121" s="219" t="s">
        <v>233</v>
      </c>
      <c r="D121" s="241">
        <v>52188</v>
      </c>
      <c r="E121" s="219" t="s">
        <v>233</v>
      </c>
      <c r="I121" s="445"/>
    </row>
    <row r="122" spans="1:9">
      <c r="A122" s="322" t="s">
        <v>1077</v>
      </c>
      <c r="B122" s="241">
        <v>153031</v>
      </c>
      <c r="C122" s="219" t="s">
        <v>233</v>
      </c>
      <c r="D122" s="241">
        <v>666100</v>
      </c>
      <c r="E122" s="219" t="s">
        <v>233</v>
      </c>
      <c r="I122" s="446"/>
    </row>
    <row r="123" spans="1:9">
      <c r="A123" s="204" t="s">
        <v>1106</v>
      </c>
      <c r="B123" s="229">
        <v>59475</v>
      </c>
      <c r="C123" s="219" t="s">
        <v>233</v>
      </c>
      <c r="D123" s="241">
        <v>194571</v>
      </c>
      <c r="E123" s="219" t="s">
        <v>233</v>
      </c>
      <c r="I123" s="209"/>
    </row>
    <row r="124" spans="1:9">
      <c r="A124" s="322" t="s">
        <v>1124</v>
      </c>
      <c r="B124" s="229">
        <v>60000</v>
      </c>
      <c r="C124" s="219" t="s">
        <v>233</v>
      </c>
      <c r="D124" s="219" t="s">
        <v>233</v>
      </c>
      <c r="E124" s="219" t="s">
        <v>233</v>
      </c>
      <c r="I124" s="209"/>
    </row>
    <row r="125" spans="1:9">
      <c r="A125" s="322" t="s">
        <v>1125</v>
      </c>
      <c r="B125" s="241">
        <v>29700000</v>
      </c>
      <c r="C125" s="219" t="s">
        <v>233</v>
      </c>
      <c r="D125" s="219" t="s">
        <v>233</v>
      </c>
      <c r="E125" s="219" t="s">
        <v>233</v>
      </c>
      <c r="I125" s="209"/>
    </row>
    <row r="126" spans="1:9">
      <c r="A126" s="322" t="s">
        <v>1126</v>
      </c>
      <c r="B126" s="241">
        <v>10438286</v>
      </c>
      <c r="C126" s="219" t="s">
        <v>233</v>
      </c>
      <c r="D126" s="219" t="s">
        <v>233</v>
      </c>
      <c r="E126" s="219" t="s">
        <v>233</v>
      </c>
      <c r="I126" s="209"/>
    </row>
    <row r="127" spans="1:9">
      <c r="A127" s="322" t="s">
        <v>1140</v>
      </c>
      <c r="B127" s="229">
        <v>4800974</v>
      </c>
      <c r="C127" s="219" t="s">
        <v>233</v>
      </c>
      <c r="D127" s="219" t="s">
        <v>233</v>
      </c>
      <c r="E127" s="219" t="s">
        <v>233</v>
      </c>
      <c r="I127" s="209"/>
    </row>
    <row r="128" spans="1:9">
      <c r="A128" s="322" t="s">
        <v>1141</v>
      </c>
      <c r="B128" s="229">
        <v>3558800</v>
      </c>
      <c r="C128" s="219" t="s">
        <v>233</v>
      </c>
      <c r="D128" s="219" t="s">
        <v>233</v>
      </c>
      <c r="E128" s="219" t="s">
        <v>233</v>
      </c>
      <c r="I128" s="209"/>
    </row>
    <row r="129" spans="1:9">
      <c r="A129" s="322" t="s">
        <v>1152</v>
      </c>
      <c r="B129" s="229">
        <v>334550</v>
      </c>
      <c r="C129" s="219" t="s">
        <v>233</v>
      </c>
      <c r="D129" s="219" t="s">
        <v>233</v>
      </c>
      <c r="E129" s="219" t="s">
        <v>233</v>
      </c>
      <c r="I129" s="209"/>
    </row>
    <row r="130" spans="1:9">
      <c r="A130" s="322"/>
      <c r="B130" s="241"/>
      <c r="C130" s="219"/>
      <c r="D130" s="241"/>
      <c r="E130" s="219"/>
      <c r="I130" s="209"/>
    </row>
    <row r="131" spans="1:9">
      <c r="A131" s="204"/>
      <c r="B131" s="219" t="s">
        <v>233</v>
      </c>
      <c r="C131" s="336">
        <f>SUM(B89:B107,B113:B131)</f>
        <v>240602998.94</v>
      </c>
      <c r="D131" s="219" t="s">
        <v>233</v>
      </c>
      <c r="E131" s="336">
        <f>SUM(D89:D107,D113:D131)</f>
        <v>118559362.86</v>
      </c>
    </row>
    <row r="132" spans="1:9">
      <c r="A132" s="325"/>
      <c r="B132" s="447"/>
      <c r="C132" s="241"/>
      <c r="D132" s="447"/>
      <c r="E132" s="241"/>
    </row>
    <row r="133" spans="1:9">
      <c r="A133" s="241" t="s">
        <v>485</v>
      </c>
      <c r="B133" s="220" t="s">
        <v>233</v>
      </c>
      <c r="C133" s="219" t="s">
        <v>233</v>
      </c>
      <c r="D133" s="220" t="s">
        <v>233</v>
      </c>
      <c r="E133" s="219" t="s">
        <v>233</v>
      </c>
    </row>
    <row r="134" spans="1:9">
      <c r="A134" s="241" t="s">
        <v>345</v>
      </c>
      <c r="B134" s="220" t="s">
        <v>233</v>
      </c>
      <c r="C134" s="219" t="s">
        <v>233</v>
      </c>
      <c r="D134" s="220" t="s">
        <v>233</v>
      </c>
      <c r="E134" s="219" t="s">
        <v>233</v>
      </c>
    </row>
    <row r="135" spans="1:9">
      <c r="A135" s="241" t="s">
        <v>346</v>
      </c>
      <c r="B135" s="220" t="s">
        <v>233</v>
      </c>
      <c r="C135" s="219" t="s">
        <v>233</v>
      </c>
      <c r="D135" s="220" t="s">
        <v>233</v>
      </c>
      <c r="E135" s="219" t="s">
        <v>233</v>
      </c>
    </row>
    <row r="136" spans="1:9">
      <c r="A136" s="241" t="s">
        <v>347</v>
      </c>
      <c r="B136" s="220" t="s">
        <v>233</v>
      </c>
      <c r="C136" s="219" t="s">
        <v>233</v>
      </c>
      <c r="D136" s="220" t="s">
        <v>233</v>
      </c>
      <c r="E136" s="219" t="s">
        <v>233</v>
      </c>
    </row>
    <row r="137" spans="1:9">
      <c r="A137" s="241"/>
      <c r="B137" s="220"/>
      <c r="C137" s="219"/>
      <c r="D137" s="220"/>
      <c r="E137" s="219"/>
    </row>
    <row r="138" spans="1:9">
      <c r="A138" s="241" t="s">
        <v>486</v>
      </c>
      <c r="B138" s="220" t="s">
        <v>233</v>
      </c>
      <c r="C138" s="219" t="s">
        <v>233</v>
      </c>
      <c r="D138" s="220" t="s">
        <v>233</v>
      </c>
      <c r="E138" s="219" t="s">
        <v>233</v>
      </c>
    </row>
    <row r="139" spans="1:9" ht="16.5" thickBot="1">
      <c r="A139" s="247"/>
      <c r="B139" s="230"/>
      <c r="C139" s="247"/>
      <c r="D139" s="230"/>
      <c r="E139" s="247"/>
    </row>
    <row r="140" spans="1:9" ht="16.5" thickBot="1">
      <c r="A140" s="448" t="s">
        <v>15</v>
      </c>
      <c r="B140" s="449"/>
      <c r="C140" s="253">
        <f>B8+C87+C131</f>
        <v>262891092.25</v>
      </c>
      <c r="D140" s="253"/>
      <c r="E140" s="253">
        <f>D8+E87+E131</f>
        <v>137130425.15000001</v>
      </c>
    </row>
    <row r="141" spans="1:9">
      <c r="A141" s="347"/>
      <c r="B141" s="209"/>
      <c r="C141" s="337"/>
      <c r="D141" s="337"/>
      <c r="E141" s="337"/>
    </row>
    <row r="142" spans="1:9">
      <c r="A142" s="347"/>
      <c r="B142" s="209"/>
      <c r="C142" s="337"/>
      <c r="D142" s="337"/>
      <c r="E142" s="337"/>
    </row>
    <row r="143" spans="1:9">
      <c r="A143" s="347"/>
      <c r="B143" s="209"/>
      <c r="C143" s="337"/>
      <c r="D143" s="337"/>
      <c r="E143" s="337"/>
    </row>
    <row r="144" spans="1:9">
      <c r="A144" s="517"/>
      <c r="B144" s="209"/>
      <c r="C144" s="337"/>
      <c r="D144" s="337"/>
      <c r="E144" s="337"/>
    </row>
    <row r="145" spans="1:5">
      <c r="A145" s="517"/>
      <c r="B145" s="209"/>
      <c r="C145" s="337"/>
      <c r="D145" s="337"/>
      <c r="E145" s="337"/>
    </row>
    <row r="146" spans="1:5">
      <c r="A146" s="517"/>
      <c r="B146" s="209"/>
      <c r="C146" s="337"/>
      <c r="D146" s="337"/>
      <c r="E146" s="337"/>
    </row>
    <row r="147" spans="1:5">
      <c r="A147" s="347"/>
      <c r="B147" s="209"/>
      <c r="C147" s="337"/>
      <c r="D147" s="337"/>
      <c r="E147" s="337"/>
    </row>
    <row r="148" spans="1:5">
      <c r="A148" s="347"/>
      <c r="B148" s="209"/>
      <c r="C148" s="337"/>
      <c r="D148" s="337"/>
      <c r="E148" s="337"/>
    </row>
    <row r="150" spans="1:5">
      <c r="A150" s="603" t="s">
        <v>812</v>
      </c>
      <c r="B150" s="603"/>
      <c r="C150" s="603"/>
      <c r="D150" s="603"/>
      <c r="E150" s="603"/>
    </row>
  </sheetData>
  <mergeCells count="17">
    <mergeCell ref="A37:E37"/>
    <mergeCell ref="A29:E29"/>
    <mergeCell ref="A74:E74"/>
    <mergeCell ref="A108:E108"/>
    <mergeCell ref="A1:E1"/>
    <mergeCell ref="A3:E3"/>
    <mergeCell ref="A64:E64"/>
    <mergeCell ref="A75:E75"/>
    <mergeCell ref="A77:E77"/>
    <mergeCell ref="D4:E4"/>
    <mergeCell ref="B5:C5"/>
    <mergeCell ref="D5:E5"/>
    <mergeCell ref="A112:E112"/>
    <mergeCell ref="A150:E150"/>
    <mergeCell ref="B80:C80"/>
    <mergeCell ref="D80:E80"/>
    <mergeCell ref="D78:E78"/>
  </mergeCells>
  <phoneticPr fontId="0" type="noConversion"/>
  <printOptions horizontalCentered="1"/>
  <pageMargins left="0.19685039370078741" right="0.19685039370078741" top="0.39370078740157483" bottom="0.19685039370078741" header="0" footer="0"/>
  <pageSetup paperSize="9" scale="94" orientation="landscape" horizontalDpi="4294967293" verticalDpi="4294967293" r:id="rId1"/>
  <headerFooter alignWithMargins="0"/>
  <rowBreaks count="3" manualBreakCount="3">
    <brk id="37" max="4" man="1"/>
    <brk id="74" max="4" man="1"/>
    <brk id="112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H138"/>
  <sheetViews>
    <sheetView view="pageBreakPreview" topLeftCell="A112" zoomScaleSheetLayoutView="100" workbookViewId="0">
      <selection activeCell="F131" sqref="F131"/>
    </sheetView>
  </sheetViews>
  <sheetFormatPr defaultColWidth="9.140625" defaultRowHeight="15.75"/>
  <cols>
    <col min="1" max="1" width="73.28515625" style="211" customWidth="1"/>
    <col min="2" max="5" width="15" style="211" customWidth="1"/>
    <col min="6" max="6" width="14.28515625" style="211" customWidth="1"/>
    <col min="7" max="7" width="9.140625" style="211"/>
    <col min="8" max="8" width="14.42578125" style="211" bestFit="1" customWidth="1"/>
    <col min="9" max="16384" width="9.140625" style="211"/>
  </cols>
  <sheetData>
    <row r="1" spans="1:5" ht="15.75" customHeight="1">
      <c r="A1" s="596" t="s">
        <v>252</v>
      </c>
      <c r="B1" s="596"/>
      <c r="C1" s="596"/>
      <c r="D1" s="596"/>
      <c r="E1" s="596"/>
    </row>
    <row r="2" spans="1:5">
      <c r="A2" s="215"/>
      <c r="B2" s="215"/>
      <c r="C2" s="215"/>
      <c r="D2" s="215"/>
      <c r="E2" s="215"/>
    </row>
    <row r="3" spans="1:5">
      <c r="A3" s="597" t="s">
        <v>1116</v>
      </c>
      <c r="B3" s="597"/>
      <c r="C3" s="597"/>
      <c r="D3" s="597"/>
      <c r="E3" s="597"/>
    </row>
    <row r="4" spans="1:5">
      <c r="A4" s="216"/>
      <c r="B4" s="216"/>
      <c r="C4" s="216"/>
      <c r="D4" s="588" t="s">
        <v>1132</v>
      </c>
      <c r="E4" s="588"/>
    </row>
    <row r="5" spans="1:5" ht="16.5" thickBot="1">
      <c r="A5" s="216"/>
      <c r="B5" s="216"/>
      <c r="C5" s="216"/>
      <c r="D5" s="223"/>
      <c r="E5" s="223"/>
    </row>
    <row r="6" spans="1:5" ht="16.5" thickBot="1">
      <c r="A6" s="210" t="s">
        <v>145</v>
      </c>
      <c r="B6" s="615" t="s">
        <v>409</v>
      </c>
      <c r="C6" s="616"/>
      <c r="D6" s="617" t="s">
        <v>410</v>
      </c>
      <c r="E6" s="602"/>
    </row>
    <row r="7" spans="1:5">
      <c r="A7" s="248"/>
      <c r="B7" s="240"/>
      <c r="C7" s="240"/>
      <c r="D7" s="263"/>
      <c r="E7" s="263"/>
    </row>
    <row r="8" spans="1:5">
      <c r="A8" s="442" t="s">
        <v>146</v>
      </c>
      <c r="B8" s="241"/>
      <c r="C8" s="241"/>
      <c r="D8" s="242"/>
      <c r="E8" s="242"/>
    </row>
    <row r="9" spans="1:5">
      <c r="A9" s="442"/>
      <c r="B9" s="241"/>
      <c r="C9" s="241"/>
      <c r="D9" s="242"/>
      <c r="E9" s="242"/>
    </row>
    <row r="10" spans="1:5">
      <c r="A10" s="442" t="s">
        <v>311</v>
      </c>
      <c r="B10" s="241"/>
      <c r="C10" s="241"/>
      <c r="D10" s="242"/>
      <c r="E10" s="242"/>
    </row>
    <row r="11" spans="1:5">
      <c r="A11" s="249" t="s">
        <v>313</v>
      </c>
      <c r="B11" s="219" t="s">
        <v>233</v>
      </c>
      <c r="C11" s="219" t="s">
        <v>233</v>
      </c>
      <c r="D11" s="220" t="s">
        <v>233</v>
      </c>
      <c r="E11" s="220" t="s">
        <v>233</v>
      </c>
    </row>
    <row r="12" spans="1:5">
      <c r="A12" s="249" t="s">
        <v>314</v>
      </c>
      <c r="B12" s="219" t="s">
        <v>233</v>
      </c>
      <c r="C12" s="219" t="s">
        <v>233</v>
      </c>
      <c r="D12" s="220" t="s">
        <v>233</v>
      </c>
      <c r="E12" s="220" t="s">
        <v>233</v>
      </c>
    </row>
    <row r="13" spans="1:5">
      <c r="A13" s="249" t="s">
        <v>315</v>
      </c>
      <c r="B13" s="219"/>
      <c r="C13" s="219"/>
      <c r="D13" s="220"/>
      <c r="E13" s="220"/>
    </row>
    <row r="14" spans="1:5">
      <c r="A14" s="249" t="s">
        <v>316</v>
      </c>
      <c r="B14" s="219" t="s">
        <v>233</v>
      </c>
      <c r="C14" s="219" t="s">
        <v>233</v>
      </c>
      <c r="D14" s="220" t="s">
        <v>233</v>
      </c>
      <c r="E14" s="220" t="s">
        <v>233</v>
      </c>
    </row>
    <row r="15" spans="1:5">
      <c r="A15" s="249"/>
      <c r="B15" s="241"/>
      <c r="C15" s="241"/>
      <c r="D15" s="242"/>
      <c r="E15" s="242"/>
    </row>
    <row r="16" spans="1:5">
      <c r="A16" s="442" t="s">
        <v>312</v>
      </c>
      <c r="B16" s="241"/>
      <c r="C16" s="241"/>
      <c r="D16" s="242"/>
      <c r="E16" s="242"/>
    </row>
    <row r="17" spans="1:5">
      <c r="A17" s="442" t="s">
        <v>483</v>
      </c>
      <c r="B17" s="241"/>
      <c r="C17" s="241"/>
      <c r="D17" s="242"/>
      <c r="E17" s="242"/>
    </row>
    <row r="18" spans="1:5">
      <c r="A18" s="442" t="s">
        <v>317</v>
      </c>
      <c r="B18" s="219" t="s">
        <v>233</v>
      </c>
      <c r="C18" s="219" t="s">
        <v>233</v>
      </c>
      <c r="D18" s="220" t="s">
        <v>233</v>
      </c>
      <c r="E18" s="220" t="s">
        <v>233</v>
      </c>
    </row>
    <row r="19" spans="1:5">
      <c r="A19" s="249" t="s">
        <v>318</v>
      </c>
      <c r="B19" s="241"/>
      <c r="C19" s="241"/>
      <c r="D19" s="242"/>
      <c r="E19" s="242"/>
    </row>
    <row r="20" spans="1:5">
      <c r="A20" s="249" t="s">
        <v>319</v>
      </c>
      <c r="B20" s="241"/>
      <c r="C20" s="241"/>
      <c r="D20" s="242"/>
      <c r="E20" s="242"/>
    </row>
    <row r="21" spans="1:5">
      <c r="A21" s="249" t="s">
        <v>320</v>
      </c>
      <c r="B21" s="219" t="s">
        <v>233</v>
      </c>
      <c r="C21" s="219" t="s">
        <v>233</v>
      </c>
      <c r="D21" s="220" t="s">
        <v>233</v>
      </c>
      <c r="E21" s="220" t="s">
        <v>233</v>
      </c>
    </row>
    <row r="22" spans="1:5">
      <c r="A22" s="249" t="s">
        <v>321</v>
      </c>
      <c r="B22" s="241">
        <v>28301002</v>
      </c>
      <c r="C22" s="219" t="s">
        <v>233</v>
      </c>
      <c r="D22" s="242">
        <v>28301002</v>
      </c>
      <c r="E22" s="220" t="s">
        <v>233</v>
      </c>
    </row>
    <row r="23" spans="1:5">
      <c r="A23" s="249" t="s">
        <v>662</v>
      </c>
      <c r="B23" s="241">
        <v>40773292.020000003</v>
      </c>
      <c r="C23" s="219" t="s">
        <v>233</v>
      </c>
      <c r="D23" s="242">
        <v>40773292.020000003</v>
      </c>
      <c r="E23" s="220" t="s">
        <v>233</v>
      </c>
    </row>
    <row r="24" spans="1:5">
      <c r="A24" s="249" t="s">
        <v>2</v>
      </c>
      <c r="B24" s="241">
        <v>300000</v>
      </c>
      <c r="C24" s="219" t="s">
        <v>233</v>
      </c>
      <c r="D24" s="242">
        <v>300000</v>
      </c>
      <c r="E24" s="220" t="s">
        <v>233</v>
      </c>
    </row>
    <row r="25" spans="1:5">
      <c r="A25" s="249" t="s">
        <v>323</v>
      </c>
      <c r="B25" s="219" t="s">
        <v>233</v>
      </c>
      <c r="C25" s="220" t="s">
        <v>233</v>
      </c>
      <c r="D25" s="220" t="s">
        <v>233</v>
      </c>
      <c r="E25" s="220" t="s">
        <v>233</v>
      </c>
    </row>
    <row r="26" spans="1:5">
      <c r="A26" s="368" t="s">
        <v>324</v>
      </c>
      <c r="B26" s="219" t="s">
        <v>233</v>
      </c>
      <c r="C26" s="220" t="s">
        <v>233</v>
      </c>
      <c r="D26" s="220" t="s">
        <v>233</v>
      </c>
      <c r="E26" s="220" t="s">
        <v>233</v>
      </c>
    </row>
    <row r="27" spans="1:5">
      <c r="A27" s="249" t="s">
        <v>663</v>
      </c>
      <c r="B27" s="219" t="s">
        <v>233</v>
      </c>
      <c r="C27" s="220" t="s">
        <v>233</v>
      </c>
      <c r="D27" s="220" t="s">
        <v>233</v>
      </c>
      <c r="E27" s="220" t="s">
        <v>233</v>
      </c>
    </row>
    <row r="28" spans="1:5">
      <c r="A28" s="249" t="s">
        <v>325</v>
      </c>
      <c r="B28" s="219" t="s">
        <v>233</v>
      </c>
      <c r="C28" s="338">
        <f>SUM(B22:B24)</f>
        <v>69374294.020000011</v>
      </c>
      <c r="D28" s="220" t="s">
        <v>233</v>
      </c>
      <c r="E28" s="338">
        <f>SUM(D22:D24)</f>
        <v>69374294.020000011</v>
      </c>
    </row>
    <row r="29" spans="1:5">
      <c r="A29" s="249"/>
      <c r="B29" s="241"/>
      <c r="C29" s="241"/>
      <c r="D29" s="242"/>
      <c r="E29" s="242"/>
    </row>
    <row r="30" spans="1:5">
      <c r="A30" s="442" t="s">
        <v>326</v>
      </c>
      <c r="B30" s="219" t="s">
        <v>233</v>
      </c>
      <c r="C30" s="219" t="s">
        <v>233</v>
      </c>
      <c r="D30" s="220" t="s">
        <v>233</v>
      </c>
      <c r="E30" s="220" t="s">
        <v>233</v>
      </c>
    </row>
    <row r="31" spans="1:5">
      <c r="A31" s="442" t="s">
        <v>329</v>
      </c>
      <c r="B31" s="219" t="s">
        <v>233</v>
      </c>
      <c r="C31" s="219" t="s">
        <v>233</v>
      </c>
      <c r="D31" s="220" t="s">
        <v>233</v>
      </c>
      <c r="E31" s="220" t="s">
        <v>233</v>
      </c>
    </row>
    <row r="32" spans="1:5">
      <c r="A32" s="249" t="s">
        <v>440</v>
      </c>
      <c r="B32" s="241"/>
      <c r="C32" s="241"/>
      <c r="D32" s="242"/>
      <c r="E32" s="242"/>
    </row>
    <row r="33" spans="1:6">
      <c r="A33" s="368" t="s">
        <v>330</v>
      </c>
      <c r="B33" s="241">
        <f>190583</f>
        <v>190583</v>
      </c>
      <c r="C33" s="219" t="s">
        <v>233</v>
      </c>
      <c r="D33" s="242">
        <v>190583</v>
      </c>
      <c r="E33" s="220" t="s">
        <v>233</v>
      </c>
    </row>
    <row r="34" spans="1:6">
      <c r="A34" s="368" t="s">
        <v>331</v>
      </c>
      <c r="B34" s="241">
        <v>728400</v>
      </c>
      <c r="C34" s="219" t="s">
        <v>233</v>
      </c>
      <c r="D34" s="242">
        <v>609450</v>
      </c>
      <c r="E34" s="220" t="s">
        <v>233</v>
      </c>
    </row>
    <row r="35" spans="1:6" ht="16.5" thickBot="1">
      <c r="A35" s="369" t="s">
        <v>332</v>
      </c>
      <c r="B35" s="247">
        <v>69100</v>
      </c>
      <c r="C35" s="335" t="s">
        <v>233</v>
      </c>
      <c r="D35" s="230">
        <v>77633</v>
      </c>
      <c r="E35" s="370" t="s">
        <v>233</v>
      </c>
    </row>
    <row r="36" spans="1:6">
      <c r="A36" s="591" t="s">
        <v>780</v>
      </c>
      <c r="B36" s="613"/>
      <c r="C36" s="613"/>
      <c r="D36" s="591"/>
      <c r="E36" s="591"/>
    </row>
    <row r="37" spans="1:6">
      <c r="A37" s="544"/>
      <c r="B37" s="544"/>
      <c r="C37" s="544"/>
      <c r="D37" s="544"/>
      <c r="E37" s="544"/>
    </row>
    <row r="38" spans="1:6">
      <c r="A38" s="544"/>
      <c r="B38" s="544"/>
      <c r="C38" s="544"/>
      <c r="D38" s="544"/>
      <c r="E38" s="544"/>
    </row>
    <row r="39" spans="1:6">
      <c r="A39" s="544"/>
      <c r="B39" s="544"/>
      <c r="C39" s="544"/>
      <c r="D39" s="544"/>
      <c r="E39" s="544"/>
    </row>
    <row r="40" spans="1:6">
      <c r="A40" s="261"/>
      <c r="B40" s="261"/>
      <c r="C40" s="261"/>
      <c r="D40" s="261"/>
      <c r="E40" s="261"/>
    </row>
    <row r="41" spans="1:6">
      <c r="A41" s="261"/>
      <c r="B41" s="261"/>
      <c r="C41" s="261"/>
      <c r="D41" s="261"/>
      <c r="E41" s="261"/>
    </row>
    <row r="42" spans="1:6">
      <c r="A42" s="603" t="s">
        <v>813</v>
      </c>
      <c r="B42" s="603"/>
      <c r="C42" s="603"/>
      <c r="D42" s="603"/>
      <c r="E42" s="603"/>
      <c r="F42" s="211" t="s">
        <v>105</v>
      </c>
    </row>
    <row r="43" spans="1:6">
      <c r="A43" s="596" t="s">
        <v>252</v>
      </c>
      <c r="B43" s="596"/>
      <c r="C43" s="596"/>
      <c r="D43" s="596"/>
      <c r="E43" s="596"/>
    </row>
    <row r="44" spans="1:6">
      <c r="A44" s="215"/>
      <c r="B44" s="215"/>
      <c r="C44" s="215"/>
      <c r="D44" s="215"/>
      <c r="E44" s="215"/>
    </row>
    <row r="45" spans="1:6">
      <c r="A45" s="597" t="s">
        <v>1116</v>
      </c>
      <c r="B45" s="597"/>
      <c r="C45" s="597"/>
      <c r="D45" s="597"/>
      <c r="E45" s="597"/>
    </row>
    <row r="46" spans="1:6" ht="15.75" customHeight="1" thickBot="1">
      <c r="A46" s="216"/>
      <c r="B46" s="216"/>
      <c r="C46" s="216"/>
      <c r="D46" s="588" t="s">
        <v>1132</v>
      </c>
      <c r="E46" s="588"/>
    </row>
    <row r="47" spans="1:6" ht="16.5" thickBot="1">
      <c r="A47" s="210" t="s">
        <v>145</v>
      </c>
      <c r="B47" s="599" t="s">
        <v>409</v>
      </c>
      <c r="C47" s="600"/>
      <c r="D47" s="614" t="s">
        <v>410</v>
      </c>
      <c r="E47" s="602"/>
    </row>
    <row r="48" spans="1:6">
      <c r="A48" s="450" t="s">
        <v>333</v>
      </c>
      <c r="B48" s="240">
        <v>1453134</v>
      </c>
      <c r="C48" s="374" t="s">
        <v>233</v>
      </c>
      <c r="D48" s="240">
        <v>1659125</v>
      </c>
      <c r="E48" s="374" t="s">
        <v>233</v>
      </c>
    </row>
    <row r="49" spans="1:8">
      <c r="A49" s="368" t="s">
        <v>305</v>
      </c>
      <c r="B49" s="241">
        <v>2681874</v>
      </c>
      <c r="C49" s="219" t="s">
        <v>233</v>
      </c>
      <c r="D49" s="241">
        <v>2498273</v>
      </c>
      <c r="E49" s="219" t="s">
        <v>233</v>
      </c>
    </row>
    <row r="50" spans="1:8">
      <c r="A50" s="368" t="s">
        <v>1012</v>
      </c>
      <c r="B50" s="241">
        <v>74450</v>
      </c>
      <c r="C50" s="219" t="s">
        <v>233</v>
      </c>
      <c r="D50" s="241">
        <v>105320</v>
      </c>
      <c r="E50" s="219" t="s">
        <v>233</v>
      </c>
    </row>
    <row r="51" spans="1:8">
      <c r="A51" s="368" t="s">
        <v>1013</v>
      </c>
      <c r="B51" s="241">
        <v>791032</v>
      </c>
      <c r="C51" s="219" t="s">
        <v>233</v>
      </c>
      <c r="D51" s="241">
        <v>1221906</v>
      </c>
      <c r="E51" s="219" t="s">
        <v>233</v>
      </c>
    </row>
    <row r="52" spans="1:8">
      <c r="A52" s="249" t="s">
        <v>1014</v>
      </c>
      <c r="B52" s="241">
        <v>4374910</v>
      </c>
      <c r="C52" s="219" t="s">
        <v>233</v>
      </c>
      <c r="D52" s="241">
        <v>4973878</v>
      </c>
      <c r="E52" s="219" t="s">
        <v>233</v>
      </c>
      <c r="F52" s="211" t="s">
        <v>105</v>
      </c>
    </row>
    <row r="53" spans="1:8">
      <c r="A53" s="249" t="s">
        <v>1015</v>
      </c>
      <c r="B53" s="219" t="s">
        <v>233</v>
      </c>
      <c r="C53" s="219" t="s">
        <v>233</v>
      </c>
      <c r="D53" s="219" t="s">
        <v>233</v>
      </c>
      <c r="E53" s="219" t="s">
        <v>233</v>
      </c>
    </row>
    <row r="54" spans="1:8">
      <c r="A54" s="368" t="s">
        <v>1016</v>
      </c>
      <c r="B54" s="241">
        <f>3003923-12808</f>
        <v>2991115</v>
      </c>
      <c r="C54" s="219" t="s">
        <v>233</v>
      </c>
      <c r="D54" s="241">
        <v>4866372</v>
      </c>
      <c r="E54" s="219" t="s">
        <v>233</v>
      </c>
    </row>
    <row r="55" spans="1:8">
      <c r="A55" s="368" t="s">
        <v>1017</v>
      </c>
      <c r="B55" s="241">
        <v>100000</v>
      </c>
      <c r="C55" s="219" t="s">
        <v>233</v>
      </c>
      <c r="D55" s="241">
        <v>100000</v>
      </c>
      <c r="E55" s="219" t="s">
        <v>233</v>
      </c>
    </row>
    <row r="56" spans="1:8">
      <c r="A56" s="368" t="s">
        <v>1018</v>
      </c>
      <c r="B56" s="241">
        <v>135888</v>
      </c>
      <c r="C56" s="219" t="s">
        <v>233</v>
      </c>
      <c r="D56" s="241">
        <v>135888</v>
      </c>
      <c r="E56" s="219" t="s">
        <v>233</v>
      </c>
    </row>
    <row r="57" spans="1:8">
      <c r="A57" s="368" t="s">
        <v>1019</v>
      </c>
      <c r="B57" s="219" t="s">
        <v>233</v>
      </c>
      <c r="C57" s="219" t="s">
        <v>233</v>
      </c>
      <c r="D57" s="219" t="s">
        <v>233</v>
      </c>
      <c r="E57" s="219" t="s">
        <v>233</v>
      </c>
    </row>
    <row r="58" spans="1:8">
      <c r="A58" s="204" t="s">
        <v>1020</v>
      </c>
      <c r="B58" s="219" t="s">
        <v>233</v>
      </c>
      <c r="C58" s="219" t="s">
        <v>233</v>
      </c>
      <c r="D58" s="241">
        <v>404487</v>
      </c>
      <c r="E58" s="219" t="s">
        <v>233</v>
      </c>
    </row>
    <row r="59" spans="1:8">
      <c r="A59" s="204"/>
      <c r="B59" s="241"/>
      <c r="C59" s="241"/>
      <c r="D59" s="241"/>
      <c r="E59" s="241"/>
    </row>
    <row r="60" spans="1:8">
      <c r="A60" s="451" t="s">
        <v>464</v>
      </c>
      <c r="B60" s="241"/>
      <c r="C60" s="241"/>
      <c r="D60" s="241"/>
      <c r="E60" s="241"/>
    </row>
    <row r="61" spans="1:8">
      <c r="A61" s="249" t="s">
        <v>465</v>
      </c>
      <c r="B61" s="219" t="s">
        <v>233</v>
      </c>
      <c r="C61" s="219" t="s">
        <v>233</v>
      </c>
      <c r="D61" s="219" t="s">
        <v>233</v>
      </c>
      <c r="E61" s="219" t="s">
        <v>233</v>
      </c>
    </row>
    <row r="62" spans="1:8" ht="16.5" thickBot="1">
      <c r="A62" s="249" t="s">
        <v>466</v>
      </c>
      <c r="B62" s="219" t="s">
        <v>233</v>
      </c>
      <c r="C62" s="219" t="s">
        <v>233</v>
      </c>
      <c r="D62" s="219" t="s">
        <v>233</v>
      </c>
      <c r="E62" s="219" t="s">
        <v>233</v>
      </c>
      <c r="H62" s="513"/>
    </row>
    <row r="63" spans="1:8">
      <c r="A63" s="204" t="s">
        <v>467</v>
      </c>
      <c r="B63" s="321">
        <v>25000</v>
      </c>
      <c r="C63" s="219" t="s">
        <v>233</v>
      </c>
      <c r="D63" s="241">
        <v>25000</v>
      </c>
      <c r="E63" s="219" t="s">
        <v>233</v>
      </c>
    </row>
    <row r="64" spans="1:8">
      <c r="A64" s="241" t="s">
        <v>1021</v>
      </c>
      <c r="B64" s="241">
        <v>30000</v>
      </c>
      <c r="C64" s="219" t="s">
        <v>233</v>
      </c>
      <c r="D64" s="241">
        <v>30000</v>
      </c>
      <c r="E64" s="219" t="s">
        <v>233</v>
      </c>
    </row>
    <row r="65" spans="1:5">
      <c r="A65" s="321" t="s">
        <v>1022</v>
      </c>
      <c r="B65" s="219" t="s">
        <v>233</v>
      </c>
      <c r="C65" s="219" t="s">
        <v>233</v>
      </c>
      <c r="D65" s="321">
        <v>68500</v>
      </c>
      <c r="E65" s="219" t="s">
        <v>233</v>
      </c>
    </row>
    <row r="66" spans="1:5">
      <c r="A66" s="321" t="s">
        <v>1104</v>
      </c>
      <c r="B66" s="321">
        <v>30000</v>
      </c>
      <c r="C66" s="375"/>
      <c r="D66" s="321">
        <v>155000</v>
      </c>
      <c r="E66" s="375"/>
    </row>
    <row r="67" spans="1:5">
      <c r="A67" s="321" t="s">
        <v>1121</v>
      </c>
      <c r="B67" s="321">
        <v>50000</v>
      </c>
      <c r="C67" s="375" t="s">
        <v>233</v>
      </c>
      <c r="D67" s="375" t="s">
        <v>233</v>
      </c>
      <c r="E67" s="375" t="s">
        <v>233</v>
      </c>
    </row>
    <row r="68" spans="1:5">
      <c r="A68" s="321" t="s">
        <v>1131</v>
      </c>
      <c r="B68" s="321">
        <v>503080</v>
      </c>
      <c r="C68" s="375" t="s">
        <v>233</v>
      </c>
      <c r="D68" s="375" t="s">
        <v>233</v>
      </c>
      <c r="E68" s="375" t="s">
        <v>233</v>
      </c>
    </row>
    <row r="69" spans="1:5" ht="16.5" thickBot="1">
      <c r="A69" s="247"/>
      <c r="B69" s="247"/>
      <c r="C69" s="335"/>
      <c r="D69" s="247"/>
      <c r="E69" s="335"/>
    </row>
    <row r="70" spans="1:5">
      <c r="A70" s="613" t="s">
        <v>1080</v>
      </c>
      <c r="B70" s="613"/>
      <c r="C70" s="613"/>
      <c r="D70" s="613"/>
      <c r="E70" s="613"/>
    </row>
    <row r="71" spans="1:5">
      <c r="A71" s="261"/>
      <c r="B71" s="261"/>
      <c r="C71" s="261"/>
      <c r="D71" s="261"/>
      <c r="E71" s="261"/>
    </row>
    <row r="72" spans="1:5">
      <c r="A72" s="544"/>
      <c r="B72" s="544"/>
      <c r="C72" s="544"/>
      <c r="D72" s="544"/>
      <c r="E72" s="544"/>
    </row>
    <row r="73" spans="1:5">
      <c r="A73" s="544"/>
      <c r="B73" s="544"/>
      <c r="C73" s="544"/>
      <c r="D73" s="544"/>
      <c r="E73" s="544"/>
    </row>
    <row r="74" spans="1:5">
      <c r="A74" s="544"/>
      <c r="B74" s="544"/>
      <c r="C74" s="544"/>
      <c r="D74" s="544"/>
      <c r="E74" s="544"/>
    </row>
    <row r="75" spans="1:5">
      <c r="A75" s="544"/>
      <c r="B75" s="544"/>
      <c r="C75" s="544"/>
      <c r="D75" s="544"/>
      <c r="E75" s="544"/>
    </row>
    <row r="76" spans="1:5">
      <c r="A76" s="544"/>
      <c r="B76" s="544"/>
      <c r="C76" s="544"/>
      <c r="D76" s="544"/>
      <c r="E76" s="544"/>
    </row>
    <row r="77" spans="1:5">
      <c r="A77" s="544"/>
      <c r="B77" s="544"/>
      <c r="C77" s="544"/>
      <c r="D77" s="544"/>
      <c r="E77" s="544"/>
    </row>
    <row r="78" spans="1:5">
      <c r="A78" s="544"/>
      <c r="B78" s="544"/>
      <c r="C78" s="544"/>
      <c r="D78" s="544"/>
      <c r="E78" s="544"/>
    </row>
    <row r="79" spans="1:5">
      <c r="A79" s="261"/>
      <c r="B79" s="261"/>
      <c r="C79" s="261"/>
      <c r="D79" s="261"/>
      <c r="E79" s="261"/>
    </row>
    <row r="80" spans="1:5">
      <c r="A80" s="261"/>
      <c r="B80" s="261"/>
      <c r="C80" s="261"/>
      <c r="D80" s="261"/>
      <c r="E80" s="261"/>
    </row>
    <row r="81" spans="1:5">
      <c r="A81" s="261"/>
      <c r="B81" s="261"/>
      <c r="C81" s="261"/>
      <c r="D81" s="261"/>
      <c r="E81" s="261"/>
    </row>
    <row r="82" spans="1:5">
      <c r="A82" s="261"/>
      <c r="B82" s="261"/>
      <c r="C82" s="261"/>
      <c r="D82" s="261"/>
      <c r="E82" s="261"/>
    </row>
    <row r="83" spans="1:5">
      <c r="A83" s="261"/>
      <c r="B83" s="261"/>
      <c r="C83" s="261"/>
      <c r="D83" s="261"/>
      <c r="E83" s="261"/>
    </row>
    <row r="84" spans="1:5" ht="16.5" thickBot="1">
      <c r="A84" s="570" t="s">
        <v>814</v>
      </c>
      <c r="B84" s="570"/>
      <c r="C84" s="570"/>
      <c r="D84" s="570"/>
      <c r="E84" s="570"/>
    </row>
    <row r="85" spans="1:5">
      <c r="A85" s="452" t="s">
        <v>523</v>
      </c>
      <c r="B85" s="240"/>
      <c r="C85" s="374"/>
      <c r="D85" s="240"/>
      <c r="E85" s="453"/>
    </row>
    <row r="86" spans="1:5">
      <c r="A86" s="249" t="s">
        <v>540</v>
      </c>
      <c r="B86" s="219" t="s">
        <v>233</v>
      </c>
      <c r="C86" s="219" t="s">
        <v>233</v>
      </c>
      <c r="D86" s="219" t="s">
        <v>233</v>
      </c>
      <c r="E86" s="220" t="s">
        <v>233</v>
      </c>
    </row>
    <row r="87" spans="1:5">
      <c r="A87" s="249" t="s">
        <v>776</v>
      </c>
      <c r="B87" s="241">
        <v>15000</v>
      </c>
      <c r="C87" s="219" t="s">
        <v>233</v>
      </c>
      <c r="D87" s="241">
        <v>15000</v>
      </c>
      <c r="E87" s="220" t="s">
        <v>233</v>
      </c>
    </row>
    <row r="88" spans="1:5">
      <c r="A88" s="249"/>
      <c r="B88" s="241"/>
      <c r="C88" s="241"/>
      <c r="D88" s="241"/>
      <c r="E88" s="242"/>
    </row>
    <row r="89" spans="1:5">
      <c r="A89" s="451" t="s">
        <v>522</v>
      </c>
      <c r="B89" s="241"/>
      <c r="C89" s="241"/>
      <c r="D89" s="241"/>
      <c r="E89" s="242"/>
    </row>
    <row r="90" spans="1:5">
      <c r="A90" s="249" t="s">
        <v>472</v>
      </c>
      <c r="B90" s="241">
        <v>371000</v>
      </c>
      <c r="C90" s="220" t="s">
        <v>233</v>
      </c>
      <c r="D90" s="241">
        <v>371000</v>
      </c>
      <c r="E90" s="220" t="s">
        <v>233</v>
      </c>
    </row>
    <row r="91" spans="1:5">
      <c r="A91" s="249" t="s">
        <v>525</v>
      </c>
      <c r="B91" s="241">
        <v>87600</v>
      </c>
      <c r="C91" s="220" t="s">
        <v>233</v>
      </c>
      <c r="D91" s="241">
        <v>87600</v>
      </c>
      <c r="E91" s="220" t="s">
        <v>233</v>
      </c>
    </row>
    <row r="92" spans="1:5">
      <c r="A92" s="241" t="s">
        <v>524</v>
      </c>
      <c r="B92" s="219" t="s">
        <v>233</v>
      </c>
      <c r="C92" s="220" t="s">
        <v>233</v>
      </c>
      <c r="D92" s="220" t="s">
        <v>233</v>
      </c>
      <c r="E92" s="220" t="s">
        <v>233</v>
      </c>
    </row>
    <row r="93" spans="1:5">
      <c r="A93" s="241" t="s">
        <v>666</v>
      </c>
      <c r="B93" s="219" t="s">
        <v>233</v>
      </c>
      <c r="C93" s="220" t="s">
        <v>233</v>
      </c>
      <c r="D93" s="220" t="s">
        <v>233</v>
      </c>
      <c r="E93" s="220" t="s">
        <v>233</v>
      </c>
    </row>
    <row r="94" spans="1:5">
      <c r="A94" s="241" t="s">
        <v>539</v>
      </c>
      <c r="B94" s="242"/>
      <c r="C94" s="242"/>
      <c r="D94" s="242"/>
      <c r="E94" s="242"/>
    </row>
    <row r="95" spans="1:5">
      <c r="A95" s="454" t="s">
        <v>521</v>
      </c>
      <c r="B95" s="242"/>
      <c r="C95" s="242"/>
      <c r="D95" s="242"/>
      <c r="E95" s="242"/>
    </row>
    <row r="96" spans="1:5">
      <c r="A96" s="241" t="s">
        <v>471</v>
      </c>
      <c r="B96" s="219" t="s">
        <v>233</v>
      </c>
      <c r="C96" s="220" t="s">
        <v>233</v>
      </c>
      <c r="D96" s="220" t="s">
        <v>233</v>
      </c>
      <c r="E96" s="220" t="s">
        <v>233</v>
      </c>
    </row>
    <row r="97" spans="1:8">
      <c r="A97" s="241"/>
      <c r="B97" s="242"/>
      <c r="C97" s="242"/>
      <c r="D97" s="242"/>
      <c r="E97" s="242"/>
    </row>
    <row r="98" spans="1:8">
      <c r="A98" s="454" t="s">
        <v>773</v>
      </c>
      <c r="B98" s="242"/>
      <c r="C98" s="242"/>
      <c r="D98" s="242"/>
      <c r="E98" s="242"/>
    </row>
    <row r="99" spans="1:8">
      <c r="A99" s="241" t="s">
        <v>526</v>
      </c>
      <c r="B99" s="219" t="s">
        <v>233</v>
      </c>
      <c r="C99" s="220" t="s">
        <v>233</v>
      </c>
      <c r="D99" s="220" t="s">
        <v>233</v>
      </c>
      <c r="E99" s="220" t="s">
        <v>233</v>
      </c>
    </row>
    <row r="100" spans="1:8">
      <c r="A100" s="455" t="s">
        <v>848</v>
      </c>
      <c r="B100" s="219" t="s">
        <v>233</v>
      </c>
      <c r="C100" s="220" t="s">
        <v>233</v>
      </c>
      <c r="D100" s="220" t="s">
        <v>233</v>
      </c>
      <c r="E100" s="220" t="s">
        <v>233</v>
      </c>
    </row>
    <row r="101" spans="1:8">
      <c r="A101" s="455" t="s">
        <v>770</v>
      </c>
      <c r="B101" s="219" t="s">
        <v>233</v>
      </c>
      <c r="C101" s="220" t="s">
        <v>233</v>
      </c>
      <c r="D101" s="220" t="s">
        <v>233</v>
      </c>
      <c r="E101" s="220" t="s">
        <v>233</v>
      </c>
    </row>
    <row r="102" spans="1:8">
      <c r="A102" s="455" t="s">
        <v>849</v>
      </c>
      <c r="B102" s="241">
        <v>1035000</v>
      </c>
      <c r="C102" s="338">
        <f>SUM(B33:B35,B48:B69,B85:B102)</f>
        <v>15737166</v>
      </c>
      <c r="D102" s="241">
        <v>670000</v>
      </c>
      <c r="E102" s="338">
        <f>SUM(D33:D35,D48:D69,D85:D102)</f>
        <v>18265015</v>
      </c>
    </row>
    <row r="103" spans="1:8">
      <c r="A103" s="368"/>
      <c r="B103" s="241"/>
      <c r="C103" s="241"/>
      <c r="D103" s="241"/>
      <c r="E103" s="242"/>
    </row>
    <row r="104" spans="1:8">
      <c r="A104" s="442" t="s">
        <v>473</v>
      </c>
      <c r="B104" s="241"/>
      <c r="C104" s="241"/>
      <c r="D104" s="241"/>
      <c r="E104" s="242"/>
    </row>
    <row r="105" spans="1:8">
      <c r="A105" s="249" t="s">
        <v>476</v>
      </c>
      <c r="B105" s="241">
        <v>193920</v>
      </c>
      <c r="C105" s="220" t="s">
        <v>233</v>
      </c>
      <c r="D105" s="241">
        <v>193920</v>
      </c>
      <c r="E105" s="220" t="s">
        <v>233</v>
      </c>
    </row>
    <row r="106" spans="1:8">
      <c r="A106" s="249" t="s">
        <v>474</v>
      </c>
      <c r="B106" s="241">
        <v>6999.9</v>
      </c>
      <c r="C106" s="220" t="s">
        <v>233</v>
      </c>
      <c r="D106" s="241">
        <v>6999.9</v>
      </c>
      <c r="E106" s="220" t="s">
        <v>233</v>
      </c>
    </row>
    <row r="107" spans="1:8">
      <c r="A107" s="249" t="s">
        <v>475</v>
      </c>
      <c r="B107" s="241">
        <v>33970</v>
      </c>
      <c r="C107" s="338">
        <f>SUM(B105:B108)</f>
        <v>234889.9</v>
      </c>
      <c r="D107" s="241">
        <v>33970</v>
      </c>
      <c r="E107" s="338">
        <f>SUM(D105:D108)</f>
        <v>234889.9</v>
      </c>
    </row>
    <row r="108" spans="1:8" ht="16.5" thickBot="1">
      <c r="A108" s="249"/>
      <c r="B108" s="241"/>
      <c r="C108" s="241"/>
      <c r="D108" s="241"/>
      <c r="E108" s="242"/>
    </row>
    <row r="109" spans="1:8" ht="16.5" thickBot="1">
      <c r="A109" s="249"/>
      <c r="B109" s="241"/>
      <c r="C109" s="241"/>
      <c r="D109" s="241"/>
      <c r="E109" s="242"/>
      <c r="H109" s="346"/>
    </row>
    <row r="110" spans="1:8">
      <c r="A110" s="442" t="s">
        <v>477</v>
      </c>
      <c r="B110" s="241"/>
      <c r="C110" s="241"/>
      <c r="D110" s="241"/>
      <c r="E110" s="242"/>
      <c r="H110" s="346"/>
    </row>
    <row r="111" spans="1:8">
      <c r="A111" s="241" t="s">
        <v>478</v>
      </c>
      <c r="B111" s="219" t="s">
        <v>233</v>
      </c>
      <c r="C111" s="220" t="s">
        <v>233</v>
      </c>
      <c r="D111" s="220" t="s">
        <v>233</v>
      </c>
      <c r="E111" s="220" t="s">
        <v>233</v>
      </c>
      <c r="F111" s="337"/>
    </row>
    <row r="112" spans="1:8">
      <c r="A112" s="249" t="s">
        <v>479</v>
      </c>
      <c r="B112" s="241">
        <f>12974427+84513</f>
        <v>13058940</v>
      </c>
      <c r="C112" s="220" t="s">
        <v>233</v>
      </c>
      <c r="D112" s="241">
        <v>9094785</v>
      </c>
      <c r="E112" s="220" t="s">
        <v>233</v>
      </c>
    </row>
    <row r="113" spans="1:8">
      <c r="A113" s="241" t="s">
        <v>480</v>
      </c>
      <c r="B113" s="219" t="s">
        <v>233</v>
      </c>
      <c r="C113" s="220" t="s">
        <v>233</v>
      </c>
      <c r="D113" s="220" t="s">
        <v>233</v>
      </c>
      <c r="E113" s="220" t="s">
        <v>233</v>
      </c>
    </row>
    <row r="114" spans="1:8">
      <c r="A114" s="241" t="s">
        <v>481</v>
      </c>
      <c r="B114" s="219" t="s">
        <v>233</v>
      </c>
      <c r="C114" s="220" t="s">
        <v>233</v>
      </c>
      <c r="D114" s="220" t="s">
        <v>233</v>
      </c>
      <c r="E114" s="220" t="s">
        <v>233</v>
      </c>
    </row>
    <row r="115" spans="1:8">
      <c r="A115" s="241" t="s">
        <v>147</v>
      </c>
      <c r="B115" s="219" t="s">
        <v>233</v>
      </c>
      <c r="C115" s="338">
        <f>SUM(B111:B114)</f>
        <v>13058940</v>
      </c>
      <c r="D115" s="219" t="s">
        <v>233</v>
      </c>
      <c r="E115" s="338">
        <f>SUM(D111:D114)</f>
        <v>9094785</v>
      </c>
    </row>
    <row r="116" spans="1:8">
      <c r="A116" s="241"/>
      <c r="B116" s="242"/>
      <c r="C116" s="241"/>
      <c r="D116" s="242"/>
      <c r="E116" s="242"/>
    </row>
    <row r="117" spans="1:8">
      <c r="A117" s="336" t="s">
        <v>482</v>
      </c>
      <c r="B117" s="227">
        <v>207095</v>
      </c>
      <c r="C117" s="338">
        <f>SUM(B116:B117)</f>
        <v>207095</v>
      </c>
      <c r="D117" s="220" t="s">
        <v>233</v>
      </c>
      <c r="E117" s="220" t="s">
        <v>233</v>
      </c>
      <c r="F117" s="211" t="s">
        <v>105</v>
      </c>
    </row>
    <row r="118" spans="1:8" ht="16.5" thickBot="1">
      <c r="A118" s="456"/>
      <c r="B118" s="230"/>
      <c r="C118" s="247"/>
      <c r="D118" s="230"/>
      <c r="E118" s="340"/>
      <c r="H118" s="211">
        <v>450774044.10000002</v>
      </c>
    </row>
    <row r="119" spans="1:8" ht="16.5" thickBot="1">
      <c r="A119" s="217" t="s">
        <v>22</v>
      </c>
      <c r="B119" s="527" t="s">
        <v>233</v>
      </c>
      <c r="C119" s="210">
        <f>C28+C102+C107+C115+C117</f>
        <v>98612384.920000017</v>
      </c>
      <c r="D119" s="527" t="s">
        <v>233</v>
      </c>
      <c r="E119" s="210">
        <f>E28+E102+E107+E115</f>
        <v>96968983.920000017</v>
      </c>
      <c r="H119" s="211">
        <v>449792119.10000002</v>
      </c>
    </row>
    <row r="120" spans="1:8" ht="16.5" thickBot="1">
      <c r="A120" s="337"/>
      <c r="B120" s="209"/>
      <c r="C120" s="337"/>
      <c r="D120" s="337"/>
      <c r="E120" s="337"/>
      <c r="H120" s="211">
        <f>SUM(H118-H119)</f>
        <v>981925</v>
      </c>
    </row>
    <row r="121" spans="1:8" s="443" customFormat="1" ht="16.5" thickBot="1">
      <c r="A121" s="217" t="s">
        <v>148</v>
      </c>
      <c r="B121" s="527" t="s">
        <v>233</v>
      </c>
      <c r="C121" s="210">
        <f>'S 11 '!C140+'S 11 c'!C119</f>
        <v>361503477.17000002</v>
      </c>
      <c r="D121" s="527" t="s">
        <v>233</v>
      </c>
      <c r="E121" s="210">
        <f>'S 11 '!E140+'S 11 c'!E119</f>
        <v>234099409.07000002</v>
      </c>
    </row>
    <row r="122" spans="1:8">
      <c r="E122" s="211" t="s">
        <v>105</v>
      </c>
    </row>
    <row r="126" spans="1:8">
      <c r="A126" s="603" t="s">
        <v>815</v>
      </c>
      <c r="B126" s="603"/>
      <c r="C126" s="603"/>
      <c r="D126" s="603"/>
      <c r="E126" s="603"/>
    </row>
    <row r="128" spans="1:8">
      <c r="C128" s="211">
        <v>348889516.17000002</v>
      </c>
    </row>
    <row r="129" spans="3:4">
      <c r="C129" s="211">
        <f>+C121-C128</f>
        <v>12613961</v>
      </c>
    </row>
    <row r="135" spans="3:4">
      <c r="C135" s="211">
        <f>C129+C131+C132</f>
        <v>12613961</v>
      </c>
      <c r="D135" s="211" t="s">
        <v>1139</v>
      </c>
    </row>
    <row r="136" spans="3:4">
      <c r="C136" s="211">
        <f>C121+C135</f>
        <v>374117438.17000002</v>
      </c>
    </row>
    <row r="138" spans="3:4">
      <c r="C138" s="211">
        <f>C128-C136</f>
        <v>-25227922</v>
      </c>
    </row>
  </sheetData>
  <mergeCells count="15">
    <mergeCell ref="A43:E43"/>
    <mergeCell ref="A45:E45"/>
    <mergeCell ref="D46:E46"/>
    <mergeCell ref="A42:E42"/>
    <mergeCell ref="A36:E36"/>
    <mergeCell ref="B6:C6"/>
    <mergeCell ref="D6:E6"/>
    <mergeCell ref="A1:E1"/>
    <mergeCell ref="A3:E3"/>
    <mergeCell ref="D4:E4"/>
    <mergeCell ref="A70:E70"/>
    <mergeCell ref="A84:E84"/>
    <mergeCell ref="A126:E126"/>
    <mergeCell ref="B47:C47"/>
    <mergeCell ref="D47:E47"/>
  </mergeCells>
  <phoneticPr fontId="0" type="noConversion"/>
  <printOptions horizontalCentered="1"/>
  <pageMargins left="0.19685039370078741" right="0.19685039370078741" top="0.39370078740157483" bottom="0.19685039370078741" header="0" footer="0"/>
  <pageSetup paperSize="9" scale="83" orientation="landscape" horizontalDpi="4294967293" verticalDpi="4294967293" r:id="rId1"/>
  <headerFooter alignWithMargins="0"/>
  <rowBreaks count="2" manualBreakCount="2">
    <brk id="42" max="4" man="1"/>
    <brk id="84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1">
    <tabColor rgb="FF92D050"/>
  </sheetPr>
  <dimension ref="A1:F79"/>
  <sheetViews>
    <sheetView view="pageBreakPreview" topLeftCell="A58" zoomScaleSheetLayoutView="100" workbookViewId="0">
      <selection activeCell="F27" sqref="F27"/>
    </sheetView>
  </sheetViews>
  <sheetFormatPr defaultColWidth="9.140625" defaultRowHeight="15.75"/>
  <cols>
    <col min="1" max="1" width="91.42578125" style="211" customWidth="1"/>
    <col min="2" max="2" width="16" style="211" bestFit="1" customWidth="1"/>
    <col min="3" max="3" width="15.28515625" style="211" customWidth="1"/>
    <col min="4" max="16384" width="9.140625" style="211"/>
  </cols>
  <sheetData>
    <row r="1" spans="1:3">
      <c r="A1" s="596" t="s">
        <v>253</v>
      </c>
      <c r="B1" s="596"/>
      <c r="C1" s="596"/>
    </row>
    <row r="2" spans="1:3">
      <c r="A2" s="215"/>
      <c r="B2" s="215"/>
      <c r="C2" s="215"/>
    </row>
    <row r="3" spans="1:3">
      <c r="A3" s="597" t="s">
        <v>1117</v>
      </c>
      <c r="B3" s="597"/>
      <c r="C3" s="597"/>
    </row>
    <row r="4" spans="1:3">
      <c r="A4" s="216"/>
      <c r="B4" s="216"/>
      <c r="C4" s="216"/>
    </row>
    <row r="5" spans="1:3" ht="15.75" customHeight="1" thickBot="1">
      <c r="A5" s="216"/>
      <c r="B5" s="588" t="s">
        <v>1132</v>
      </c>
      <c r="C5" s="588"/>
    </row>
    <row r="6" spans="1:3" ht="16.5" thickBot="1">
      <c r="A6" s="217" t="s">
        <v>149</v>
      </c>
      <c r="B6" s="217" t="s">
        <v>409</v>
      </c>
      <c r="C6" s="258" t="s">
        <v>410</v>
      </c>
    </row>
    <row r="7" spans="1:3">
      <c r="A7" s="447"/>
      <c r="B7" s="218"/>
      <c r="C7" s="378"/>
    </row>
    <row r="8" spans="1:3">
      <c r="A8" s="241" t="s">
        <v>1418</v>
      </c>
      <c r="B8" s="219"/>
      <c r="C8" s="220"/>
    </row>
    <row r="9" spans="1:3">
      <c r="A9" s="241" t="s">
        <v>150</v>
      </c>
      <c r="B9" s="220" t="s">
        <v>233</v>
      </c>
      <c r="C9" s="220" t="s">
        <v>233</v>
      </c>
    </row>
    <row r="10" spans="1:3">
      <c r="A10" s="241" t="s">
        <v>151</v>
      </c>
      <c r="B10" s="220" t="s">
        <v>233</v>
      </c>
      <c r="C10" s="220" t="s">
        <v>233</v>
      </c>
    </row>
    <row r="11" spans="1:3">
      <c r="A11" s="241" t="s">
        <v>152</v>
      </c>
      <c r="B11" s="220" t="s">
        <v>233</v>
      </c>
      <c r="C11" s="220" t="s">
        <v>233</v>
      </c>
    </row>
    <row r="12" spans="1:3">
      <c r="A12" s="241"/>
      <c r="B12" s="220"/>
      <c r="C12" s="220"/>
    </row>
    <row r="13" spans="1:3">
      <c r="A13" s="241" t="s">
        <v>1419</v>
      </c>
      <c r="B13" s="220"/>
      <c r="C13" s="220"/>
    </row>
    <row r="14" spans="1:3">
      <c r="A14" s="241" t="s">
        <v>153</v>
      </c>
      <c r="B14" s="241">
        <v>24392298</v>
      </c>
      <c r="C14" s="220" t="s">
        <v>233</v>
      </c>
    </row>
    <row r="15" spans="1:3">
      <c r="A15" s="241" t="s">
        <v>154</v>
      </c>
      <c r="B15" s="220" t="s">
        <v>233</v>
      </c>
      <c r="C15" s="220" t="s">
        <v>233</v>
      </c>
    </row>
    <row r="16" spans="1:3">
      <c r="A16" s="241" t="s">
        <v>175</v>
      </c>
      <c r="B16" s="220" t="s">
        <v>233</v>
      </c>
      <c r="C16" s="220" t="s">
        <v>233</v>
      </c>
    </row>
    <row r="17" spans="1:3">
      <c r="A17" s="241" t="s">
        <v>174</v>
      </c>
      <c r="B17" s="220" t="s">
        <v>233</v>
      </c>
      <c r="C17" s="220" t="s">
        <v>233</v>
      </c>
    </row>
    <row r="18" spans="1:3">
      <c r="A18" s="241" t="s">
        <v>157</v>
      </c>
      <c r="B18" s="220" t="s">
        <v>233</v>
      </c>
      <c r="C18" s="220" t="s">
        <v>233</v>
      </c>
    </row>
    <row r="19" spans="1:3" ht="16.5" thickBot="1">
      <c r="A19" s="321"/>
      <c r="B19" s="221"/>
      <c r="C19" s="221"/>
    </row>
    <row r="20" spans="1:3" ht="16.5" thickBot="1">
      <c r="A20" s="217" t="s">
        <v>411</v>
      </c>
      <c r="B20" s="535">
        <f>SUM(B9:B18)</f>
        <v>24392298</v>
      </c>
      <c r="C20" s="222" t="s">
        <v>233</v>
      </c>
    </row>
    <row r="21" spans="1:3">
      <c r="A21" s="517"/>
      <c r="B21" s="544"/>
      <c r="C21" s="543"/>
    </row>
    <row r="22" spans="1:3">
      <c r="A22" s="517"/>
      <c r="B22" s="544"/>
      <c r="C22" s="543"/>
    </row>
    <row r="23" spans="1:3">
      <c r="A23" s="517"/>
      <c r="B23" s="544"/>
      <c r="C23" s="543"/>
    </row>
    <row r="24" spans="1:3">
      <c r="A24" s="517"/>
      <c r="B24" s="544"/>
      <c r="C24" s="543"/>
    </row>
    <row r="25" spans="1:3">
      <c r="A25" s="517"/>
      <c r="B25" s="544"/>
      <c r="C25" s="543"/>
    </row>
    <row r="26" spans="1:3">
      <c r="A26" s="517"/>
      <c r="B26" s="544"/>
      <c r="C26" s="543"/>
    </row>
    <row r="27" spans="1:3">
      <c r="A27" s="517"/>
      <c r="B27" s="544"/>
      <c r="C27" s="543"/>
    </row>
    <row r="28" spans="1:3">
      <c r="A28" s="517"/>
      <c r="B28" s="544"/>
      <c r="C28" s="543"/>
    </row>
    <row r="29" spans="1:3">
      <c r="A29" s="517"/>
      <c r="B29" s="544"/>
      <c r="C29" s="543"/>
    </row>
    <row r="30" spans="1:3">
      <c r="A30" s="517"/>
      <c r="B30" s="544"/>
      <c r="C30" s="543"/>
    </row>
    <row r="31" spans="1:3">
      <c r="A31" s="517"/>
      <c r="B31" s="544"/>
      <c r="C31" s="543"/>
    </row>
    <row r="32" spans="1:3">
      <c r="A32" s="517"/>
      <c r="B32" s="544"/>
      <c r="C32" s="543"/>
    </row>
    <row r="33" spans="1:3">
      <c r="A33" s="517"/>
      <c r="B33" s="544"/>
      <c r="C33" s="543"/>
    </row>
    <row r="34" spans="1:3">
      <c r="A34" s="517"/>
      <c r="B34" s="544"/>
      <c r="C34" s="543"/>
    </row>
    <row r="35" spans="1:3">
      <c r="A35" s="517"/>
      <c r="B35" s="544"/>
      <c r="C35" s="543"/>
    </row>
    <row r="36" spans="1:3">
      <c r="A36" s="347"/>
      <c r="B36" s="223"/>
      <c r="C36" s="223"/>
    </row>
    <row r="37" spans="1:3">
      <c r="A37" s="347"/>
      <c r="B37" s="223"/>
      <c r="C37" s="223"/>
    </row>
    <row r="38" spans="1:3">
      <c r="A38" s="347"/>
      <c r="B38" s="223"/>
      <c r="C38" s="223"/>
    </row>
    <row r="39" spans="1:3">
      <c r="A39" s="570" t="s">
        <v>816</v>
      </c>
      <c r="B39" s="570"/>
      <c r="C39" s="570"/>
    </row>
    <row r="40" spans="1:3" ht="16.5" thickBot="1">
      <c r="A40" s="262"/>
      <c r="B40" s="588" t="s">
        <v>1132</v>
      </c>
      <c r="C40" s="588"/>
    </row>
    <row r="41" spans="1:3" ht="16.5" thickBot="1">
      <c r="A41" s="217" t="s">
        <v>273</v>
      </c>
      <c r="B41" s="224" t="s">
        <v>409</v>
      </c>
      <c r="C41" s="258" t="s">
        <v>410</v>
      </c>
    </row>
    <row r="42" spans="1:3">
      <c r="A42" s="248" t="s">
        <v>176</v>
      </c>
      <c r="B42" s="225"/>
      <c r="C42" s="240"/>
    </row>
    <row r="43" spans="1:3">
      <c r="A43" s="249"/>
      <c r="B43" s="226"/>
      <c r="C43" s="241"/>
    </row>
    <row r="44" spans="1:3">
      <c r="A44" s="249" t="s">
        <v>427</v>
      </c>
      <c r="B44" s="226">
        <v>1317600000</v>
      </c>
      <c r="C44" s="241">
        <v>784000000</v>
      </c>
    </row>
    <row r="45" spans="1:3">
      <c r="A45" s="241" t="s">
        <v>428</v>
      </c>
      <c r="B45" s="220" t="s">
        <v>233</v>
      </c>
      <c r="C45" s="220" t="s">
        <v>233</v>
      </c>
    </row>
    <row r="46" spans="1:3">
      <c r="A46" s="241" t="s">
        <v>429</v>
      </c>
      <c r="B46" s="220" t="s">
        <v>233</v>
      </c>
      <c r="C46" s="220" t="s">
        <v>233</v>
      </c>
    </row>
    <row r="47" spans="1:3">
      <c r="A47" s="241" t="s">
        <v>430</v>
      </c>
      <c r="B47" s="242"/>
      <c r="C47" s="242"/>
    </row>
    <row r="48" spans="1:3">
      <c r="A48" s="241" t="s">
        <v>431</v>
      </c>
      <c r="B48" s="242"/>
      <c r="C48" s="242"/>
    </row>
    <row r="49" spans="1:6" ht="16.5" thickBot="1">
      <c r="A49" s="241" t="s">
        <v>438</v>
      </c>
      <c r="B49" s="220" t="s">
        <v>233</v>
      </c>
      <c r="C49" s="220" t="s">
        <v>233</v>
      </c>
    </row>
    <row r="50" spans="1:6">
      <c r="A50" s="241" t="s">
        <v>439</v>
      </c>
      <c r="B50" s="220" t="s">
        <v>233</v>
      </c>
      <c r="C50" s="220" t="s">
        <v>233</v>
      </c>
      <c r="F50" s="346"/>
    </row>
    <row r="51" spans="1:6">
      <c r="A51" s="241" t="s">
        <v>432</v>
      </c>
      <c r="B51" s="220" t="s">
        <v>233</v>
      </c>
      <c r="C51" s="220" t="s">
        <v>233</v>
      </c>
    </row>
    <row r="52" spans="1:6">
      <c r="A52" s="249" t="s">
        <v>433</v>
      </c>
      <c r="B52" s="226">
        <v>2762459</v>
      </c>
      <c r="C52" s="220" t="s">
        <v>233</v>
      </c>
    </row>
    <row r="53" spans="1:6">
      <c r="A53" s="249" t="s">
        <v>434</v>
      </c>
      <c r="B53" s="219" t="s">
        <v>233</v>
      </c>
      <c r="C53" s="241">
        <v>-202875</v>
      </c>
    </row>
    <row r="54" spans="1:6">
      <c r="A54" s="241" t="s">
        <v>51</v>
      </c>
      <c r="B54" s="220" t="s">
        <v>233</v>
      </c>
      <c r="C54" s="220" t="s">
        <v>233</v>
      </c>
    </row>
    <row r="55" spans="1:6">
      <c r="A55" s="241" t="s">
        <v>52</v>
      </c>
      <c r="B55" s="220" t="s">
        <v>233</v>
      </c>
      <c r="C55" s="242">
        <v>-102994</v>
      </c>
    </row>
    <row r="56" spans="1:6">
      <c r="A56" s="241" t="s">
        <v>1011</v>
      </c>
      <c r="B56" s="220" t="s">
        <v>233</v>
      </c>
      <c r="C56" s="220" t="s">
        <v>233</v>
      </c>
    </row>
    <row r="57" spans="1:6">
      <c r="A57" s="241" t="s">
        <v>414</v>
      </c>
      <c r="B57" s="220" t="s">
        <v>233</v>
      </c>
      <c r="C57" s="220" t="s">
        <v>233</v>
      </c>
    </row>
    <row r="58" spans="1:6">
      <c r="A58" s="241" t="s">
        <v>163</v>
      </c>
      <c r="B58" s="227">
        <v>2750000</v>
      </c>
      <c r="C58" s="242">
        <v>4900000</v>
      </c>
    </row>
    <row r="59" spans="1:6">
      <c r="A59" s="241" t="s">
        <v>164</v>
      </c>
      <c r="B59" s="220" t="s">
        <v>233</v>
      </c>
      <c r="C59" s="220" t="s">
        <v>233</v>
      </c>
    </row>
    <row r="60" spans="1:6">
      <c r="A60" s="241" t="s">
        <v>165</v>
      </c>
      <c r="B60" s="220" t="s">
        <v>233</v>
      </c>
      <c r="C60" s="220" t="s">
        <v>233</v>
      </c>
    </row>
    <row r="61" spans="1:6">
      <c r="A61" s="320" t="s">
        <v>840</v>
      </c>
      <c r="B61" s="227">
        <v>4950000</v>
      </c>
      <c r="C61" s="242">
        <f>2301000+40000</f>
        <v>2341000</v>
      </c>
    </row>
    <row r="62" spans="1:6">
      <c r="A62" s="320" t="s">
        <v>166</v>
      </c>
      <c r="B62" s="220" t="s">
        <v>233</v>
      </c>
      <c r="C62" s="220" t="s">
        <v>233</v>
      </c>
    </row>
    <row r="63" spans="1:6">
      <c r="A63" s="320" t="s">
        <v>517</v>
      </c>
      <c r="B63" s="227">
        <v>1639000</v>
      </c>
      <c r="C63" s="242">
        <v>2110794</v>
      </c>
    </row>
    <row r="64" spans="1:6">
      <c r="A64" s="320" t="s">
        <v>527</v>
      </c>
      <c r="B64" s="220" t="s">
        <v>233</v>
      </c>
      <c r="C64" s="220" t="s">
        <v>233</v>
      </c>
    </row>
    <row r="65" spans="1:3">
      <c r="A65" s="320" t="s">
        <v>538</v>
      </c>
      <c r="B65" s="220" t="s">
        <v>233</v>
      </c>
      <c r="C65" s="220" t="s">
        <v>233</v>
      </c>
    </row>
    <row r="66" spans="1:3">
      <c r="A66" s="330" t="s">
        <v>838</v>
      </c>
      <c r="B66" s="227">
        <v>347570</v>
      </c>
      <c r="C66" s="242">
        <v>98225</v>
      </c>
    </row>
    <row r="67" spans="1:3">
      <c r="A67" s="330" t="s">
        <v>839</v>
      </c>
      <c r="B67" s="227">
        <v>3999510</v>
      </c>
      <c r="C67" s="220" t="s">
        <v>233</v>
      </c>
    </row>
    <row r="68" spans="1:3">
      <c r="A68" s="320" t="s">
        <v>841</v>
      </c>
      <c r="B68" s="227">
        <v>17290000</v>
      </c>
      <c r="C68" s="220" t="s">
        <v>233</v>
      </c>
    </row>
    <row r="69" spans="1:3">
      <c r="A69" s="320" t="s">
        <v>851</v>
      </c>
      <c r="B69" s="220" t="s">
        <v>233</v>
      </c>
      <c r="C69" s="220" t="s">
        <v>233</v>
      </c>
    </row>
    <row r="70" spans="1:3">
      <c r="A70" s="330" t="s">
        <v>948</v>
      </c>
      <c r="B70" s="228">
        <v>2814263</v>
      </c>
      <c r="C70" s="228">
        <v>2469373</v>
      </c>
    </row>
    <row r="71" spans="1:3">
      <c r="A71" s="330" t="s">
        <v>1128</v>
      </c>
      <c r="B71" s="228">
        <v>29700000</v>
      </c>
      <c r="C71" s="220" t="s">
        <v>233</v>
      </c>
    </row>
    <row r="72" spans="1:3">
      <c r="A72" s="330" t="s">
        <v>1129</v>
      </c>
      <c r="B72" s="228">
        <v>11691000</v>
      </c>
      <c r="C72" s="220" t="s">
        <v>233</v>
      </c>
    </row>
    <row r="73" spans="1:3">
      <c r="A73" s="322" t="s">
        <v>1439</v>
      </c>
      <c r="B73" s="229">
        <v>4800974</v>
      </c>
      <c r="C73" s="220" t="s">
        <v>233</v>
      </c>
    </row>
    <row r="74" spans="1:3">
      <c r="A74" s="320" t="s">
        <v>1151</v>
      </c>
      <c r="B74" s="228">
        <v>334550</v>
      </c>
      <c r="C74" s="220" t="s">
        <v>233</v>
      </c>
    </row>
    <row r="75" spans="1:3">
      <c r="A75" s="330" t="s">
        <v>1450</v>
      </c>
      <c r="B75" s="228">
        <v>297593572.76999998</v>
      </c>
      <c r="C75" s="221"/>
    </row>
    <row r="76" spans="1:3" ht="16.5" thickBot="1">
      <c r="A76" s="331"/>
      <c r="B76" s="230"/>
      <c r="C76" s="230"/>
    </row>
    <row r="77" spans="1:3" ht="16.5" thickBot="1">
      <c r="A77" s="217" t="s">
        <v>256</v>
      </c>
      <c r="B77" s="231">
        <f>SUM(B44:B76)</f>
        <v>1698272898.77</v>
      </c>
      <c r="C77" s="231">
        <f>SUM(C44:C76)</f>
        <v>795613523</v>
      </c>
    </row>
    <row r="79" spans="1:3">
      <c r="A79" s="603" t="s">
        <v>817</v>
      </c>
      <c r="B79" s="603"/>
      <c r="C79" s="603"/>
    </row>
  </sheetData>
  <mergeCells count="6">
    <mergeCell ref="A1:C1"/>
    <mergeCell ref="A3:C3"/>
    <mergeCell ref="B5:C5"/>
    <mergeCell ref="A39:C39"/>
    <mergeCell ref="A79:C79"/>
    <mergeCell ref="B40:C40"/>
  </mergeCells>
  <phoneticPr fontId="0" type="noConversion"/>
  <printOptions horizontalCentered="1"/>
  <pageMargins left="0.19685039370078741" right="0.19685039370078741" top="0.39370078740157483" bottom="0.19685039370078741" header="0" footer="0"/>
  <pageSetup paperSize="9" scale="89" orientation="landscape" horizontalDpi="4294967293" verticalDpi="4294967293" r:id="rId1"/>
  <headerFooter alignWithMargins="0"/>
  <rowBreaks count="1" manualBreakCount="1">
    <brk id="39" max="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0"/>
  <dimension ref="A1:I36"/>
  <sheetViews>
    <sheetView view="pageBreakPreview" topLeftCell="A22" zoomScaleSheetLayoutView="100" workbookViewId="0">
      <selection activeCell="B42" sqref="B42"/>
    </sheetView>
  </sheetViews>
  <sheetFormatPr defaultColWidth="9.140625" defaultRowHeight="15.75"/>
  <cols>
    <col min="1" max="1" width="67.7109375" style="211" customWidth="1"/>
    <col min="2" max="2" width="16.140625" style="211" customWidth="1"/>
    <col min="3" max="3" width="15.42578125" style="211" customWidth="1"/>
    <col min="4" max="4" width="14.28515625" style="211" customWidth="1"/>
    <col min="5" max="5" width="14.140625" style="211" customWidth="1"/>
    <col min="6" max="6" width="9.140625" style="211"/>
    <col min="7" max="7" width="11.7109375" style="211" bestFit="1" customWidth="1"/>
    <col min="8" max="16384" width="9.140625" style="211"/>
  </cols>
  <sheetData>
    <row r="1" spans="1:7" ht="21.75" customHeight="1">
      <c r="A1" s="596" t="s">
        <v>252</v>
      </c>
      <c r="B1" s="596"/>
      <c r="C1" s="596"/>
      <c r="D1" s="596"/>
      <c r="E1" s="596"/>
    </row>
    <row r="2" spans="1:7">
      <c r="A2" s="215"/>
      <c r="B2" s="215"/>
      <c r="C2" s="215"/>
      <c r="D2" s="215"/>
    </row>
    <row r="3" spans="1:7" ht="15.75" customHeight="1">
      <c r="A3" s="597" t="s">
        <v>1117</v>
      </c>
      <c r="B3" s="597"/>
      <c r="C3" s="597"/>
      <c r="D3" s="597"/>
      <c r="E3" s="597"/>
    </row>
    <row r="4" spans="1:7" ht="15.75" customHeight="1" thickBot="1">
      <c r="D4" s="588" t="s">
        <v>1132</v>
      </c>
      <c r="E4" s="588"/>
    </row>
    <row r="5" spans="1:7" ht="16.5" thickBot="1">
      <c r="A5" s="599" t="s">
        <v>177</v>
      </c>
      <c r="B5" s="620"/>
      <c r="C5" s="600"/>
      <c r="D5" s="254" t="s">
        <v>409</v>
      </c>
      <c r="E5" s="224" t="s">
        <v>410</v>
      </c>
    </row>
    <row r="6" spans="1:7">
      <c r="A6" s="621" t="s">
        <v>298</v>
      </c>
      <c r="B6" s="622"/>
      <c r="C6" s="623"/>
      <c r="D6" s="240">
        <f>497995+1835002.5</f>
        <v>2332997.5</v>
      </c>
      <c r="E6" s="240">
        <v>2756273</v>
      </c>
      <c r="G6" s="211">
        <f>497995+1835002.5</f>
        <v>2332997.5</v>
      </c>
    </row>
    <row r="7" spans="1:7">
      <c r="A7" s="626" t="s">
        <v>178</v>
      </c>
      <c r="B7" s="627"/>
      <c r="C7" s="628"/>
      <c r="D7" s="241">
        <v>417675</v>
      </c>
      <c r="E7" s="241">
        <v>748739</v>
      </c>
    </row>
    <row r="8" spans="1:7">
      <c r="A8" s="626" t="s">
        <v>262</v>
      </c>
      <c r="B8" s="627"/>
      <c r="C8" s="628"/>
      <c r="D8" s="219" t="s">
        <v>233</v>
      </c>
      <c r="E8" s="219" t="s">
        <v>233</v>
      </c>
    </row>
    <row r="9" spans="1:7">
      <c r="A9" s="626" t="s">
        <v>179</v>
      </c>
      <c r="B9" s="627"/>
      <c r="C9" s="628"/>
      <c r="D9" s="219" t="s">
        <v>233</v>
      </c>
      <c r="E9" s="219" t="s">
        <v>233</v>
      </c>
    </row>
    <row r="10" spans="1:7" ht="15.75" customHeight="1" thickBot="1">
      <c r="A10" s="626" t="s">
        <v>247</v>
      </c>
      <c r="B10" s="627"/>
      <c r="C10" s="628"/>
      <c r="D10" s="241">
        <v>1925607</v>
      </c>
      <c r="E10" s="241">
        <v>1565424</v>
      </c>
    </row>
    <row r="11" spans="1:7" ht="16.5" thickBot="1">
      <c r="A11" s="632" t="s">
        <v>1142</v>
      </c>
      <c r="B11" s="633"/>
      <c r="C11" s="634"/>
      <c r="D11" s="255">
        <v>3558800</v>
      </c>
      <c r="E11" s="335" t="s">
        <v>233</v>
      </c>
      <c r="G11" s="346"/>
    </row>
    <row r="12" spans="1:7" ht="16.5" thickBot="1">
      <c r="A12" s="629" t="s">
        <v>411</v>
      </c>
      <c r="B12" s="630"/>
      <c r="C12" s="631"/>
      <c r="D12" s="231">
        <f>SUM(D6:D11)</f>
        <v>8235079.5</v>
      </c>
      <c r="E12" s="231">
        <f>SUM(E6:E10)</f>
        <v>5070436</v>
      </c>
    </row>
    <row r="13" spans="1:7">
      <c r="A13" s="624"/>
      <c r="B13" s="624"/>
      <c r="C13" s="624"/>
      <c r="D13" s="209"/>
      <c r="E13" s="209" t="s">
        <v>263</v>
      </c>
    </row>
    <row r="14" spans="1:7">
      <c r="A14" s="625" t="s">
        <v>180</v>
      </c>
      <c r="B14" s="625"/>
      <c r="C14" s="625"/>
      <c r="D14" s="209"/>
      <c r="E14" s="209"/>
    </row>
    <row r="15" spans="1:7" ht="16.5" thickBot="1">
      <c r="A15" s="317"/>
      <c r="B15" s="317"/>
      <c r="C15" s="317"/>
      <c r="D15" s="209"/>
      <c r="E15" s="209"/>
    </row>
    <row r="16" spans="1:7" ht="16.5" thickBot="1">
      <c r="A16" s="618" t="s">
        <v>246</v>
      </c>
      <c r="B16" s="617" t="s">
        <v>190</v>
      </c>
      <c r="C16" s="602"/>
      <c r="D16" s="617" t="s">
        <v>191</v>
      </c>
      <c r="E16" s="602"/>
    </row>
    <row r="17" spans="1:9" ht="16.5" thickBot="1">
      <c r="A17" s="619"/>
      <c r="B17" s="256" t="s">
        <v>409</v>
      </c>
      <c r="C17" s="256" t="s">
        <v>410</v>
      </c>
      <c r="D17" s="256" t="s">
        <v>409</v>
      </c>
      <c r="E17" s="256" t="s">
        <v>410</v>
      </c>
    </row>
    <row r="18" spans="1:9">
      <c r="A18" s="248" t="s">
        <v>181</v>
      </c>
      <c r="B18" s="240"/>
      <c r="C18" s="266"/>
      <c r="D18" s="240"/>
      <c r="E18" s="266"/>
    </row>
    <row r="19" spans="1:9">
      <c r="A19" s="249"/>
      <c r="B19" s="241"/>
      <c r="C19" s="242"/>
      <c r="D19" s="241"/>
      <c r="E19" s="242"/>
    </row>
    <row r="20" spans="1:9">
      <c r="A20" s="249" t="s">
        <v>182</v>
      </c>
      <c r="B20" s="241"/>
      <c r="C20" s="242"/>
      <c r="D20" s="241"/>
      <c r="E20" s="242"/>
    </row>
    <row r="21" spans="1:9">
      <c r="A21" s="241" t="s">
        <v>183</v>
      </c>
      <c r="B21" s="220" t="s">
        <v>233</v>
      </c>
      <c r="C21" s="220" t="s">
        <v>233</v>
      </c>
      <c r="D21" s="220" t="s">
        <v>233</v>
      </c>
      <c r="E21" s="220" t="s">
        <v>233</v>
      </c>
      <c r="I21" s="267"/>
    </row>
    <row r="22" spans="1:9">
      <c r="A22" s="241" t="s">
        <v>184</v>
      </c>
      <c r="B22" s="220" t="s">
        <v>233</v>
      </c>
      <c r="C22" s="220" t="s">
        <v>233</v>
      </c>
      <c r="D22" s="220" t="s">
        <v>233</v>
      </c>
      <c r="E22" s="220" t="s">
        <v>233</v>
      </c>
    </row>
    <row r="23" spans="1:9">
      <c r="A23" s="241" t="s">
        <v>185</v>
      </c>
      <c r="B23" s="242"/>
      <c r="C23" s="242"/>
      <c r="D23" s="242"/>
      <c r="E23" s="242"/>
    </row>
    <row r="24" spans="1:9">
      <c r="A24" s="241" t="s">
        <v>186</v>
      </c>
      <c r="B24" s="220" t="s">
        <v>233</v>
      </c>
      <c r="C24" s="220" t="s">
        <v>233</v>
      </c>
      <c r="D24" s="220" t="s">
        <v>233</v>
      </c>
      <c r="E24" s="220" t="s">
        <v>233</v>
      </c>
    </row>
    <row r="25" spans="1:9">
      <c r="A25" s="241" t="s">
        <v>187</v>
      </c>
      <c r="B25" s="220" t="s">
        <v>233</v>
      </c>
      <c r="C25" s="220" t="s">
        <v>233</v>
      </c>
      <c r="D25" s="220" t="s">
        <v>233</v>
      </c>
      <c r="E25" s="220" t="s">
        <v>233</v>
      </c>
    </row>
    <row r="26" spans="1:9">
      <c r="A26" s="241" t="s">
        <v>188</v>
      </c>
      <c r="B26" s="220" t="s">
        <v>233</v>
      </c>
      <c r="C26" s="220" t="s">
        <v>233</v>
      </c>
      <c r="D26" s="220" t="s">
        <v>233</v>
      </c>
      <c r="E26" s="220" t="s">
        <v>233</v>
      </c>
    </row>
    <row r="27" spans="1:9">
      <c r="A27" s="241" t="s">
        <v>189</v>
      </c>
      <c r="B27" s="220" t="s">
        <v>233</v>
      </c>
      <c r="C27" s="220" t="s">
        <v>233</v>
      </c>
      <c r="D27" s="220" t="s">
        <v>233</v>
      </c>
      <c r="E27" s="220" t="s">
        <v>233</v>
      </c>
    </row>
    <row r="28" spans="1:9">
      <c r="A28" s="476" t="s">
        <v>411</v>
      </c>
      <c r="B28" s="220" t="s">
        <v>233</v>
      </c>
      <c r="C28" s="220" t="s">
        <v>233</v>
      </c>
      <c r="D28" s="220" t="s">
        <v>233</v>
      </c>
      <c r="E28" s="220" t="s">
        <v>233</v>
      </c>
    </row>
    <row r="29" spans="1:9">
      <c r="A29" s="241"/>
      <c r="B29" s="242"/>
      <c r="C29" s="242"/>
      <c r="D29" s="242"/>
      <c r="E29" s="242"/>
    </row>
    <row r="30" spans="1:9">
      <c r="A30" s="241" t="s">
        <v>196</v>
      </c>
      <c r="B30" s="220" t="s">
        <v>233</v>
      </c>
      <c r="C30" s="220" t="s">
        <v>233</v>
      </c>
      <c r="D30" s="220" t="s">
        <v>233</v>
      </c>
      <c r="E30" s="220" t="s">
        <v>233</v>
      </c>
    </row>
    <row r="31" spans="1:9" ht="16.5" thickBot="1">
      <c r="A31" s="321"/>
      <c r="B31" s="221"/>
      <c r="C31" s="221"/>
      <c r="D31" s="221"/>
      <c r="E31" s="221"/>
    </row>
    <row r="32" spans="1:9" ht="16.5" thickBot="1">
      <c r="A32" s="217"/>
      <c r="B32" s="222" t="s">
        <v>233</v>
      </c>
      <c r="C32" s="222" t="s">
        <v>233</v>
      </c>
      <c r="D32" s="222" t="s">
        <v>233</v>
      </c>
      <c r="E32" s="222" t="s">
        <v>233</v>
      </c>
    </row>
    <row r="36" spans="1:5">
      <c r="A36" s="603" t="s">
        <v>818</v>
      </c>
      <c r="B36" s="603"/>
      <c r="C36" s="603"/>
      <c r="D36" s="603"/>
      <c r="E36" s="603"/>
    </row>
  </sheetData>
  <mergeCells count="17">
    <mergeCell ref="A1:E1"/>
    <mergeCell ref="A3:E3"/>
    <mergeCell ref="A10:C10"/>
    <mergeCell ref="A12:C12"/>
    <mergeCell ref="D4:E4"/>
    <mergeCell ref="A7:C7"/>
    <mergeCell ref="A8:C8"/>
    <mergeCell ref="A9:C9"/>
    <mergeCell ref="A11:C11"/>
    <mergeCell ref="A36:E36"/>
    <mergeCell ref="A16:A17"/>
    <mergeCell ref="D16:E16"/>
    <mergeCell ref="A5:C5"/>
    <mergeCell ref="A6:C6"/>
    <mergeCell ref="B16:C16"/>
    <mergeCell ref="A13:C13"/>
    <mergeCell ref="A14:C14"/>
  </mergeCells>
  <phoneticPr fontId="0" type="noConversion"/>
  <printOptions horizontalCentered="1"/>
  <pageMargins left="0.19685039370078741" right="0.19685039370078741" top="0.39370078740157483" bottom="0.19685039370078741" header="0" footer="0"/>
  <pageSetup paperSize="9" scale="96" orientation="landscape" horizontalDpi="4294967293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9">
    <tabColor rgb="FF00B0F0"/>
  </sheetPr>
  <dimension ref="A1:D78"/>
  <sheetViews>
    <sheetView view="pageBreakPreview" topLeftCell="A58" zoomScaleSheetLayoutView="100" workbookViewId="0">
      <selection activeCell="E65" sqref="E65"/>
    </sheetView>
  </sheetViews>
  <sheetFormatPr defaultColWidth="9.140625" defaultRowHeight="15.75"/>
  <cols>
    <col min="1" max="1" width="81.140625" style="211" customWidth="1"/>
    <col min="2" max="2" width="16.28515625" style="211" customWidth="1"/>
    <col min="3" max="3" width="17.42578125" style="211" customWidth="1"/>
    <col min="4" max="16384" width="9.140625" style="211"/>
  </cols>
  <sheetData>
    <row r="1" spans="1:4" ht="16.5">
      <c r="A1" s="610" t="s">
        <v>322</v>
      </c>
      <c r="B1" s="610"/>
      <c r="C1" s="610"/>
      <c r="D1" s="465"/>
    </row>
    <row r="2" spans="1:4" ht="11.25" customHeight="1">
      <c r="A2" s="232"/>
      <c r="B2" s="232"/>
      <c r="C2" s="232"/>
    </row>
    <row r="3" spans="1:4" ht="16.5">
      <c r="A3" s="611" t="s">
        <v>1117</v>
      </c>
      <c r="B3" s="611"/>
      <c r="C3" s="611"/>
      <c r="D3" s="466"/>
    </row>
    <row r="4" spans="1:4" ht="15.75" customHeight="1" thickBot="1">
      <c r="A4" s="467"/>
      <c r="B4" s="588" t="s">
        <v>1132</v>
      </c>
      <c r="C4" s="588"/>
      <c r="D4" s="466"/>
    </row>
    <row r="5" spans="1:4" ht="17.25" thickBot="1">
      <c r="A5" s="431" t="s">
        <v>197</v>
      </c>
      <c r="B5" s="233" t="s">
        <v>409</v>
      </c>
      <c r="C5" s="217" t="s">
        <v>410</v>
      </c>
    </row>
    <row r="6" spans="1:4" ht="16.5">
      <c r="A6" s="435"/>
      <c r="B6" s="234"/>
      <c r="C6" s="468"/>
    </row>
    <row r="7" spans="1:4" ht="16.5">
      <c r="A7" s="438" t="s">
        <v>198</v>
      </c>
      <c r="B7" s="235" t="s">
        <v>233</v>
      </c>
      <c r="C7" s="235" t="s">
        <v>233</v>
      </c>
    </row>
    <row r="8" spans="1:4" ht="16.5">
      <c r="A8" s="438" t="s">
        <v>199</v>
      </c>
      <c r="B8" s="235" t="s">
        <v>233</v>
      </c>
      <c r="C8" s="235" t="s">
        <v>233</v>
      </c>
    </row>
    <row r="9" spans="1:4" ht="16.5">
      <c r="A9" s="438" t="s">
        <v>200</v>
      </c>
      <c r="B9" s="235" t="s">
        <v>233</v>
      </c>
      <c r="C9" s="235" t="s">
        <v>233</v>
      </c>
    </row>
    <row r="10" spans="1:4" ht="17.25" thickBot="1">
      <c r="A10" s="469"/>
      <c r="B10" s="236"/>
      <c r="C10" s="236"/>
    </row>
    <row r="11" spans="1:4" ht="17.25" thickBot="1">
      <c r="A11" s="233" t="s">
        <v>411</v>
      </c>
      <c r="B11" s="237" t="s">
        <v>233</v>
      </c>
      <c r="C11" s="237" t="s">
        <v>233</v>
      </c>
    </row>
    <row r="12" spans="1:4" ht="17.25" thickBot="1">
      <c r="A12" s="470"/>
      <c r="B12" s="238"/>
      <c r="C12" s="238"/>
    </row>
    <row r="13" spans="1:4" ht="17.25" thickBot="1">
      <c r="A13" s="471" t="s">
        <v>201</v>
      </c>
      <c r="B13" s="239" t="s">
        <v>409</v>
      </c>
      <c r="C13" s="224" t="s">
        <v>410</v>
      </c>
    </row>
    <row r="14" spans="1:4" ht="16.5">
      <c r="A14" s="472"/>
      <c r="B14" s="240"/>
      <c r="C14" s="263"/>
    </row>
    <row r="15" spans="1:4" ht="16.5">
      <c r="A15" s="432" t="s">
        <v>202</v>
      </c>
      <c r="B15" s="241"/>
      <c r="C15" s="242"/>
    </row>
    <row r="16" spans="1:4" ht="16.5">
      <c r="A16" s="432" t="s">
        <v>203</v>
      </c>
      <c r="B16" s="241">
        <f>12245773+1514032+1261693+1484719+1281411+881126+649407+198564+198564+297846+297846+53630+56250+56250+56250+84513</f>
        <v>20617874</v>
      </c>
      <c r="C16" s="242">
        <v>24595382</v>
      </c>
    </row>
    <row r="17" spans="1:3" ht="16.5">
      <c r="A17" s="438" t="s">
        <v>204</v>
      </c>
      <c r="B17" s="235" t="s">
        <v>233</v>
      </c>
      <c r="C17" s="235" t="s">
        <v>233</v>
      </c>
    </row>
    <row r="18" spans="1:3" ht="16.5">
      <c r="A18" s="438" t="s">
        <v>205</v>
      </c>
      <c r="B18" s="235" t="s">
        <v>233</v>
      </c>
      <c r="C18" s="235" t="s">
        <v>233</v>
      </c>
    </row>
    <row r="19" spans="1:3" ht="16.5">
      <c r="A19" s="438" t="s">
        <v>206</v>
      </c>
      <c r="B19" s="235" t="s">
        <v>233</v>
      </c>
      <c r="C19" s="235" t="s">
        <v>233</v>
      </c>
    </row>
    <row r="20" spans="1:3" ht="16.5">
      <c r="A20" s="438" t="s">
        <v>207</v>
      </c>
      <c r="B20" s="242"/>
      <c r="C20" s="242"/>
    </row>
    <row r="21" spans="1:3" ht="16.5">
      <c r="A21" s="438" t="s">
        <v>203</v>
      </c>
      <c r="B21" s="235" t="s">
        <v>233</v>
      </c>
      <c r="C21" s="235" t="s">
        <v>233</v>
      </c>
    </row>
    <row r="22" spans="1:3" ht="16.5">
      <c r="A22" s="438" t="s">
        <v>204</v>
      </c>
      <c r="B22" s="235" t="s">
        <v>233</v>
      </c>
      <c r="C22" s="235" t="s">
        <v>233</v>
      </c>
    </row>
    <row r="23" spans="1:3" ht="16.5">
      <c r="A23" s="438" t="s">
        <v>208</v>
      </c>
      <c r="B23" s="235" t="s">
        <v>233</v>
      </c>
      <c r="C23" s="235" t="s">
        <v>233</v>
      </c>
    </row>
    <row r="24" spans="1:3" s="443" customFormat="1" ht="16.5">
      <c r="A24" s="473" t="s">
        <v>158</v>
      </c>
      <c r="B24" s="241">
        <v>104939</v>
      </c>
      <c r="C24" s="242">
        <v>80462</v>
      </c>
    </row>
    <row r="25" spans="1:3" s="443" customFormat="1" ht="16.5">
      <c r="A25" s="473" t="s">
        <v>159</v>
      </c>
      <c r="B25" s="241">
        <v>223522</v>
      </c>
      <c r="C25" s="242">
        <v>275549</v>
      </c>
    </row>
    <row r="26" spans="1:3" s="443" customFormat="1" ht="16.5">
      <c r="A26" s="473" t="s">
        <v>160</v>
      </c>
      <c r="B26" s="241">
        <v>325747</v>
      </c>
      <c r="C26" s="242">
        <v>214923</v>
      </c>
    </row>
    <row r="27" spans="1:3" s="443" customFormat="1" ht="16.5">
      <c r="A27" s="473" t="s">
        <v>162</v>
      </c>
      <c r="B27" s="241">
        <v>9290</v>
      </c>
      <c r="C27" s="242">
        <v>7918</v>
      </c>
    </row>
    <row r="28" spans="1:3" ht="16.5">
      <c r="A28" s="473" t="s">
        <v>161</v>
      </c>
      <c r="B28" s="241">
        <v>24119</v>
      </c>
      <c r="C28" s="242">
        <v>27417</v>
      </c>
    </row>
    <row r="29" spans="1:3" s="443" customFormat="1" ht="16.5">
      <c r="A29" s="473" t="s">
        <v>518</v>
      </c>
      <c r="B29" s="241">
        <v>43</v>
      </c>
      <c r="C29" s="242">
        <v>42</v>
      </c>
    </row>
    <row r="30" spans="1:3" ht="16.5">
      <c r="A30" s="473" t="s">
        <v>519</v>
      </c>
      <c r="B30" s="241">
        <v>564</v>
      </c>
      <c r="C30" s="242">
        <v>542</v>
      </c>
    </row>
    <row r="31" spans="1:3" ht="16.5">
      <c r="A31" s="432" t="s">
        <v>520</v>
      </c>
      <c r="B31" s="241">
        <v>2117</v>
      </c>
      <c r="C31" s="242">
        <v>52397</v>
      </c>
    </row>
    <row r="32" spans="1:3" ht="16.5">
      <c r="A32" s="432" t="s">
        <v>842</v>
      </c>
      <c r="B32" s="241">
        <v>128847</v>
      </c>
      <c r="C32" s="242">
        <v>153571</v>
      </c>
    </row>
    <row r="33" spans="1:3" ht="16.5">
      <c r="A33" s="432" t="s">
        <v>850</v>
      </c>
      <c r="B33" s="241">
        <v>957</v>
      </c>
      <c r="C33" s="242">
        <v>975</v>
      </c>
    </row>
    <row r="34" spans="1:3" ht="16.5">
      <c r="A34" s="432" t="s">
        <v>949</v>
      </c>
      <c r="B34" s="241">
        <v>17961</v>
      </c>
      <c r="C34" s="340">
        <v>12251</v>
      </c>
    </row>
    <row r="35" spans="1:3" ht="17.25" thickBot="1">
      <c r="A35" s="474" t="s">
        <v>1130</v>
      </c>
      <c r="B35" s="230">
        <v>3762</v>
      </c>
      <c r="C35" s="441" t="s">
        <v>233</v>
      </c>
    </row>
    <row r="36" spans="1:3" ht="16.5">
      <c r="A36" s="635" t="s">
        <v>1454</v>
      </c>
      <c r="B36" s="635"/>
      <c r="C36" s="635"/>
    </row>
    <row r="37" spans="1:3" ht="16.5">
      <c r="A37" s="545"/>
      <c r="B37" s="545"/>
      <c r="C37" s="545"/>
    </row>
    <row r="38" spans="1:3" ht="16.5">
      <c r="A38" s="545"/>
      <c r="B38" s="545"/>
      <c r="C38" s="545"/>
    </row>
    <row r="39" spans="1:3" ht="16.5">
      <c r="A39" s="636" t="s">
        <v>819</v>
      </c>
      <c r="B39" s="636"/>
      <c r="C39" s="636"/>
    </row>
    <row r="40" spans="1:3" ht="16.5" thickBot="1"/>
    <row r="41" spans="1:3" ht="16.5">
      <c r="A41" s="472" t="s">
        <v>209</v>
      </c>
      <c r="B41" s="240"/>
      <c r="C41" s="263"/>
    </row>
    <row r="42" spans="1:3" ht="16.5">
      <c r="A42" s="432" t="s">
        <v>1110</v>
      </c>
      <c r="B42" s="241">
        <v>196658</v>
      </c>
      <c r="C42" s="242">
        <v>402286</v>
      </c>
    </row>
    <row r="43" spans="1:3" ht="16.5">
      <c r="A43" s="432" t="s">
        <v>1111</v>
      </c>
      <c r="B43" s="241">
        <v>199527</v>
      </c>
      <c r="C43" s="242">
        <v>135586</v>
      </c>
    </row>
    <row r="44" spans="1:3" ht="16.5">
      <c r="A44" s="432" t="s">
        <v>230</v>
      </c>
      <c r="B44" s="241">
        <v>89021</v>
      </c>
      <c r="C44" s="242">
        <v>88466</v>
      </c>
    </row>
    <row r="45" spans="1:3" ht="16.5">
      <c r="A45" s="438" t="s">
        <v>206</v>
      </c>
      <c r="B45" s="235" t="s">
        <v>233</v>
      </c>
      <c r="C45" s="242">
        <v>6106</v>
      </c>
    </row>
    <row r="46" spans="1:3" ht="16.5">
      <c r="A46" s="432"/>
      <c r="B46" s="241"/>
      <c r="C46" s="235"/>
    </row>
    <row r="47" spans="1:3" ht="16.5">
      <c r="A47" s="438" t="s">
        <v>210</v>
      </c>
      <c r="B47" s="235" t="s">
        <v>233</v>
      </c>
      <c r="C47" s="235" t="s">
        <v>233</v>
      </c>
    </row>
    <row r="48" spans="1:3" ht="17.25" thickBot="1">
      <c r="A48" s="474"/>
      <c r="B48" s="230"/>
      <c r="C48" s="340"/>
    </row>
    <row r="49" spans="1:3" ht="17.25" thickBot="1">
      <c r="A49" s="431" t="s">
        <v>411</v>
      </c>
      <c r="B49" s="243">
        <f>SUM(B14:B48)</f>
        <v>21944948</v>
      </c>
      <c r="C49" s="243">
        <f>SUM(C14:C48)</f>
        <v>26053873</v>
      </c>
    </row>
    <row r="50" spans="1:3" ht="16.5">
      <c r="A50" s="244"/>
      <c r="B50" s="244"/>
      <c r="C50" s="244"/>
    </row>
    <row r="51" spans="1:3" ht="16.5">
      <c r="A51" s="475" t="s">
        <v>211</v>
      </c>
      <c r="B51" s="244"/>
      <c r="C51" s="244"/>
    </row>
    <row r="52" spans="1:3" ht="16.5">
      <c r="A52" s="245"/>
      <c r="B52" s="245"/>
      <c r="C52" s="245"/>
    </row>
    <row r="78" spans="1:3">
      <c r="A78" s="603" t="s">
        <v>820</v>
      </c>
      <c r="B78" s="603"/>
      <c r="C78" s="603"/>
    </row>
  </sheetData>
  <mergeCells count="6">
    <mergeCell ref="A78:C78"/>
    <mergeCell ref="A1:C1"/>
    <mergeCell ref="A3:C3"/>
    <mergeCell ref="B4:C4"/>
    <mergeCell ref="A36:C36"/>
    <mergeCell ref="A39:C39"/>
  </mergeCells>
  <phoneticPr fontId="0" type="noConversion"/>
  <printOptions horizontalCentered="1"/>
  <pageMargins left="0.19685039370078741" right="0.19685039370078741" top="0.39370078740157483" bottom="0.19685039370078741" header="0" footer="0"/>
  <pageSetup paperSize="9" scale="85" orientation="landscape" horizontalDpi="4294967293" verticalDpi="4294967293" r:id="rId1"/>
  <headerFooter alignWithMargins="0"/>
  <rowBreaks count="1" manualBreakCount="1">
    <brk id="40" max="2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8">
    <tabColor rgb="FFFFFF00"/>
  </sheetPr>
  <dimension ref="A1:D81"/>
  <sheetViews>
    <sheetView view="pageBreakPreview" topLeftCell="A67" zoomScaleSheetLayoutView="100" workbookViewId="0">
      <selection activeCell="A86" sqref="A86"/>
    </sheetView>
  </sheetViews>
  <sheetFormatPr defaultColWidth="9.140625" defaultRowHeight="15.75"/>
  <cols>
    <col min="1" max="1" width="90.28515625" style="211" customWidth="1"/>
    <col min="2" max="2" width="15.42578125" style="211" customWidth="1"/>
    <col min="3" max="3" width="18.5703125" style="211" customWidth="1"/>
    <col min="4" max="4" width="13.42578125" style="211" bestFit="1" customWidth="1"/>
    <col min="5" max="16384" width="9.140625" style="211"/>
  </cols>
  <sheetData>
    <row r="1" spans="1:4">
      <c r="A1" s="596" t="s">
        <v>252</v>
      </c>
      <c r="B1" s="596"/>
      <c r="C1" s="596"/>
    </row>
    <row r="2" spans="1:4">
      <c r="A2" s="215"/>
      <c r="B2" s="215"/>
      <c r="C2" s="215"/>
    </row>
    <row r="3" spans="1:4">
      <c r="A3" s="597" t="s">
        <v>1118</v>
      </c>
      <c r="B3" s="597"/>
      <c r="C3" s="597"/>
    </row>
    <row r="4" spans="1:4" ht="15.75" customHeight="1" thickBot="1">
      <c r="A4" s="216"/>
      <c r="B4" s="216"/>
      <c r="C4" s="257" t="s">
        <v>1132</v>
      </c>
      <c r="D4" s="464"/>
    </row>
    <row r="5" spans="1:4" ht="16.5" thickBot="1">
      <c r="A5" s="538" t="s">
        <v>212</v>
      </c>
      <c r="B5" s="224" t="s">
        <v>409</v>
      </c>
      <c r="C5" s="217" t="s">
        <v>410</v>
      </c>
    </row>
    <row r="6" spans="1:4">
      <c r="A6" s="444"/>
      <c r="B6" s="240"/>
      <c r="C6" s="263"/>
    </row>
    <row r="7" spans="1:4">
      <c r="A7" s="249" t="s">
        <v>308</v>
      </c>
      <c r="B7" s="241"/>
      <c r="C7" s="220"/>
    </row>
    <row r="8" spans="1:4">
      <c r="A8" s="249" t="s">
        <v>306</v>
      </c>
      <c r="B8" s="251" t="s">
        <v>233</v>
      </c>
      <c r="C8" s="246" t="s">
        <v>233</v>
      </c>
    </row>
    <row r="9" spans="1:4">
      <c r="A9" s="249" t="s">
        <v>307</v>
      </c>
      <c r="B9" s="251" t="s">
        <v>233</v>
      </c>
      <c r="C9" s="246" t="s">
        <v>233</v>
      </c>
    </row>
    <row r="10" spans="1:4">
      <c r="A10" s="249" t="s">
        <v>309</v>
      </c>
      <c r="B10" s="251" t="s">
        <v>233</v>
      </c>
      <c r="C10" s="246" t="s">
        <v>233</v>
      </c>
    </row>
    <row r="11" spans="1:4">
      <c r="A11" s="249" t="s">
        <v>310</v>
      </c>
      <c r="B11" s="251" t="s">
        <v>233</v>
      </c>
      <c r="C11" s="246" t="s">
        <v>233</v>
      </c>
    </row>
    <row r="12" spans="1:4" ht="16.5">
      <c r="A12" s="432" t="s">
        <v>862</v>
      </c>
      <c r="B12" s="241">
        <v>4079884</v>
      </c>
      <c r="C12" s="242">
        <v>3547769</v>
      </c>
    </row>
    <row r="13" spans="1:4">
      <c r="A13" s="204" t="s">
        <v>452</v>
      </c>
      <c r="B13" s="219" t="s">
        <v>233</v>
      </c>
      <c r="C13" s="220" t="s">
        <v>233</v>
      </c>
    </row>
    <row r="14" spans="1:4" s="443" customFormat="1">
      <c r="A14" s="204" t="s">
        <v>453</v>
      </c>
      <c r="B14" s="241">
        <v>470197.5</v>
      </c>
      <c r="C14" s="242">
        <v>513650</v>
      </c>
    </row>
    <row r="15" spans="1:4">
      <c r="A15" s="204" t="s">
        <v>774</v>
      </c>
      <c r="B15" s="226">
        <f>700000+30000</f>
        <v>730000</v>
      </c>
      <c r="C15" s="220" t="s">
        <v>233</v>
      </c>
    </row>
    <row r="16" spans="1:4">
      <c r="A16" s="204" t="s">
        <v>454</v>
      </c>
      <c r="B16" s="226">
        <v>815012.5</v>
      </c>
      <c r="C16" s="242">
        <v>696890</v>
      </c>
    </row>
    <row r="17" spans="1:4" s="443" customFormat="1">
      <c r="A17" s="204" t="s">
        <v>455</v>
      </c>
      <c r="B17" s="241">
        <v>9547679</v>
      </c>
      <c r="C17" s="242">
        <v>9107840</v>
      </c>
    </row>
    <row r="18" spans="1:4" s="443" customFormat="1">
      <c r="A18" s="204" t="s">
        <v>456</v>
      </c>
      <c r="B18" s="251" t="s">
        <v>233</v>
      </c>
      <c r="C18" s="242">
        <v>7860025</v>
      </c>
      <c r="D18" s="226">
        <v>19063088</v>
      </c>
    </row>
    <row r="19" spans="1:4" s="443" customFormat="1">
      <c r="A19" s="204" t="s">
        <v>457</v>
      </c>
      <c r="B19" s="241">
        <v>29870</v>
      </c>
      <c r="C19" s="242">
        <v>26891</v>
      </c>
    </row>
    <row r="20" spans="1:4">
      <c r="A20" s="204" t="s">
        <v>649</v>
      </c>
      <c r="B20" s="219" t="s">
        <v>233</v>
      </c>
      <c r="C20" s="220" t="s">
        <v>233</v>
      </c>
    </row>
    <row r="21" spans="1:4">
      <c r="A21" s="249" t="s">
        <v>843</v>
      </c>
      <c r="B21" s="241">
        <v>55239</v>
      </c>
      <c r="C21" s="242">
        <v>160238</v>
      </c>
    </row>
    <row r="22" spans="1:4">
      <c r="A22" s="249" t="s">
        <v>844</v>
      </c>
      <c r="B22" s="219" t="s">
        <v>233</v>
      </c>
      <c r="C22" s="220" t="s">
        <v>233</v>
      </c>
    </row>
    <row r="23" spans="1:4">
      <c r="A23" s="204" t="s">
        <v>845</v>
      </c>
      <c r="B23" s="219" t="s">
        <v>233</v>
      </c>
      <c r="C23" s="340">
        <v>6400</v>
      </c>
    </row>
    <row r="24" spans="1:4" ht="16.5" thickBot="1">
      <c r="A24" s="342" t="s">
        <v>1148</v>
      </c>
      <c r="B24" s="247">
        <v>60000</v>
      </c>
      <c r="C24" s="220" t="s">
        <v>233</v>
      </c>
    </row>
    <row r="25" spans="1:4" ht="16.5" thickBot="1">
      <c r="A25" s="448" t="s">
        <v>411</v>
      </c>
      <c r="B25" s="210">
        <f>SUM(B7:B24)</f>
        <v>15787882</v>
      </c>
      <c r="C25" s="210">
        <f>SUM(C7:C24)</f>
        <v>21919703</v>
      </c>
    </row>
    <row r="26" spans="1:4" ht="16.5" thickBot="1">
      <c r="A26" s="209"/>
      <c r="B26" s="209"/>
      <c r="C26" s="209"/>
    </row>
    <row r="27" spans="1:4">
      <c r="A27" s="637" t="s">
        <v>469</v>
      </c>
      <c r="B27" s="639" t="s">
        <v>409</v>
      </c>
      <c r="C27" s="639" t="s">
        <v>410</v>
      </c>
    </row>
    <row r="28" spans="1:4" ht="8.25" customHeight="1" thickBot="1">
      <c r="A28" s="638"/>
      <c r="B28" s="640"/>
      <c r="C28" s="640"/>
    </row>
    <row r="29" spans="1:4">
      <c r="A29" s="447"/>
      <c r="B29" s="248"/>
      <c r="C29" s="240"/>
    </row>
    <row r="30" spans="1:4">
      <c r="A30" s="241" t="s">
        <v>491</v>
      </c>
      <c r="B30" s="249"/>
      <c r="C30" s="241"/>
    </row>
    <row r="31" spans="1:4">
      <c r="A31" s="241" t="s">
        <v>275</v>
      </c>
      <c r="B31" s="211">
        <v>22135645.309999999</v>
      </c>
      <c r="C31" s="241">
        <v>18429547.289999999</v>
      </c>
    </row>
    <row r="32" spans="1:4">
      <c r="A32" s="241" t="s">
        <v>213</v>
      </c>
      <c r="B32" s="220" t="s">
        <v>233</v>
      </c>
      <c r="C32" s="251" t="s">
        <v>233</v>
      </c>
    </row>
    <row r="33" spans="1:4">
      <c r="A33" s="241"/>
      <c r="B33" s="249"/>
      <c r="C33" s="241"/>
    </row>
    <row r="34" spans="1:4">
      <c r="A34" s="241" t="s">
        <v>214</v>
      </c>
      <c r="B34" s="249"/>
      <c r="C34" s="241"/>
    </row>
    <row r="35" spans="1:4">
      <c r="A35" s="241" t="s">
        <v>275</v>
      </c>
      <c r="B35" s="241">
        <v>18429547.289999999</v>
      </c>
      <c r="C35" s="241">
        <v>35411696.32</v>
      </c>
    </row>
    <row r="36" spans="1:4">
      <c r="A36" s="241" t="s">
        <v>213</v>
      </c>
      <c r="B36" s="220" t="s">
        <v>233</v>
      </c>
      <c r="C36" s="219" t="s">
        <v>233</v>
      </c>
    </row>
    <row r="37" spans="1:4">
      <c r="A37" s="241"/>
      <c r="B37" s="249"/>
      <c r="C37" s="241"/>
    </row>
    <row r="38" spans="1:4" ht="16.5" thickBot="1">
      <c r="A38" s="321"/>
      <c r="B38" s="252"/>
      <c r="C38" s="247"/>
    </row>
    <row r="39" spans="1:4" ht="16.5" thickBot="1">
      <c r="A39" s="217" t="s">
        <v>470</v>
      </c>
      <c r="B39" s="210">
        <f>B31-B35</f>
        <v>3706098.0199999996</v>
      </c>
      <c r="C39" s="210">
        <f>C31-C35</f>
        <v>-16982149.030000001</v>
      </c>
    </row>
    <row r="40" spans="1:4">
      <c r="A40" s="209"/>
      <c r="B40" s="223"/>
      <c r="C40" s="223"/>
    </row>
    <row r="41" spans="1:4">
      <c r="A41" s="570" t="s">
        <v>821</v>
      </c>
      <c r="B41" s="570"/>
      <c r="C41" s="570"/>
    </row>
    <row r="42" spans="1:4">
      <c r="A42" s="596" t="s">
        <v>252</v>
      </c>
      <c r="B42" s="596"/>
      <c r="C42" s="596"/>
    </row>
    <row r="43" spans="1:4">
      <c r="A43" s="215"/>
      <c r="B43" s="215"/>
      <c r="C43" s="215"/>
    </row>
    <row r="44" spans="1:4">
      <c r="A44" s="597" t="s">
        <v>1118</v>
      </c>
      <c r="B44" s="597"/>
      <c r="C44" s="597"/>
    </row>
    <row r="45" spans="1:4">
      <c r="A45" s="216"/>
      <c r="B45" s="216"/>
      <c r="C45" s="216"/>
    </row>
    <row r="46" spans="1:4" ht="16.5" thickBot="1">
      <c r="A46" s="216"/>
      <c r="B46" s="216"/>
      <c r="C46" s="257" t="s">
        <v>1132</v>
      </c>
      <c r="D46" s="464"/>
    </row>
    <row r="47" spans="1:4" ht="16.5" thickBot="1">
      <c r="A47" s="217" t="s">
        <v>215</v>
      </c>
      <c r="B47" s="224" t="s">
        <v>409</v>
      </c>
      <c r="C47" s="258" t="s">
        <v>410</v>
      </c>
    </row>
    <row r="48" spans="1:4">
      <c r="A48" s="248"/>
      <c r="B48" s="240"/>
      <c r="C48" s="263"/>
    </row>
    <row r="49" spans="1:3">
      <c r="A49" s="249" t="s">
        <v>271</v>
      </c>
      <c r="B49" s="241">
        <f>684336738+8942231</f>
        <v>693278969</v>
      </c>
      <c r="C49" s="242">
        <v>570404120</v>
      </c>
    </row>
    <row r="50" spans="1:3">
      <c r="A50" s="249" t="s">
        <v>270</v>
      </c>
      <c r="B50" s="241">
        <v>528400</v>
      </c>
      <c r="C50" s="242">
        <v>283900</v>
      </c>
    </row>
    <row r="51" spans="1:3">
      <c r="A51" s="241" t="s">
        <v>216</v>
      </c>
      <c r="B51" s="220" t="s">
        <v>233</v>
      </c>
      <c r="C51" s="246" t="s">
        <v>233</v>
      </c>
    </row>
    <row r="52" spans="1:3">
      <c r="A52" s="241" t="s">
        <v>217</v>
      </c>
      <c r="B52" s="220" t="s">
        <v>233</v>
      </c>
      <c r="C52" s="246" t="s">
        <v>233</v>
      </c>
    </row>
    <row r="53" spans="1:3">
      <c r="A53" s="241" t="s">
        <v>218</v>
      </c>
      <c r="B53" s="227">
        <v>7189060</v>
      </c>
      <c r="C53" s="246" t="s">
        <v>233</v>
      </c>
    </row>
    <row r="54" spans="1:3">
      <c r="A54" s="249" t="s">
        <v>861</v>
      </c>
      <c r="B54" s="241">
        <v>3431189</v>
      </c>
      <c r="C54" s="242">
        <v>3308890</v>
      </c>
    </row>
    <row r="55" spans="1:3">
      <c r="A55" s="249" t="s">
        <v>859</v>
      </c>
      <c r="B55" s="241">
        <v>15269318</v>
      </c>
      <c r="C55" s="242">
        <v>11213596</v>
      </c>
    </row>
    <row r="56" spans="1:3">
      <c r="A56" s="249" t="s">
        <v>860</v>
      </c>
      <c r="B56" s="241"/>
      <c r="C56" s="242"/>
    </row>
    <row r="57" spans="1:3">
      <c r="A57" s="249" t="s">
        <v>241</v>
      </c>
      <c r="B57" s="241">
        <f>27250382+1726004</f>
        <v>28976386</v>
      </c>
      <c r="C57" s="242">
        <v>20497598</v>
      </c>
    </row>
    <row r="58" spans="1:3">
      <c r="A58" s="249" t="s">
        <v>502</v>
      </c>
      <c r="B58" s="241">
        <v>84927590</v>
      </c>
      <c r="C58" s="242">
        <v>72225275</v>
      </c>
    </row>
    <row r="59" spans="1:3">
      <c r="A59" s="249" t="s">
        <v>276</v>
      </c>
      <c r="B59" s="241">
        <v>34218144</v>
      </c>
      <c r="C59" s="242">
        <v>28350733</v>
      </c>
    </row>
    <row r="60" spans="1:3" ht="16.5" thickBot="1">
      <c r="A60" s="252"/>
      <c r="B60" s="247"/>
      <c r="C60" s="230"/>
    </row>
    <row r="61" spans="1:3" ht="16.5" thickBot="1">
      <c r="A61" s="217" t="s">
        <v>411</v>
      </c>
      <c r="B61" s="253">
        <f>SUM(B48:B60)</f>
        <v>867819056</v>
      </c>
      <c r="C61" s="253">
        <f>SUM(C48:C60)</f>
        <v>706284112</v>
      </c>
    </row>
    <row r="81" spans="1:3">
      <c r="A81" s="603" t="s">
        <v>1081</v>
      </c>
      <c r="B81" s="603"/>
      <c r="C81" s="603"/>
    </row>
  </sheetData>
  <mergeCells count="9">
    <mergeCell ref="A81:C81"/>
    <mergeCell ref="A42:C42"/>
    <mergeCell ref="A44:C44"/>
    <mergeCell ref="A1:C1"/>
    <mergeCell ref="A3:C3"/>
    <mergeCell ref="A27:A28"/>
    <mergeCell ref="B27:B28"/>
    <mergeCell ref="C27:C28"/>
    <mergeCell ref="A41:C41"/>
  </mergeCells>
  <phoneticPr fontId="0" type="noConversion"/>
  <printOptions horizontalCentered="1"/>
  <pageMargins left="0.19685039370078741" right="0.19685039370078741" top="0.39370078740157483" bottom="0.19685039370078741" header="0" footer="0"/>
  <pageSetup paperSize="9" scale="87" orientation="landscape" horizontalDpi="4294967293" verticalDpi="4294967293" r:id="rId1"/>
  <headerFooter alignWithMargins="0"/>
  <rowBreaks count="1" manualBreakCount="1">
    <brk id="41" max="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6"/>
  <dimension ref="A1:G108"/>
  <sheetViews>
    <sheetView view="pageBreakPreview" topLeftCell="A97" zoomScale="110" zoomScaleSheetLayoutView="110" workbookViewId="0">
      <selection activeCell="C106" sqref="C106"/>
    </sheetView>
  </sheetViews>
  <sheetFormatPr defaultColWidth="9.140625" defaultRowHeight="15.75"/>
  <cols>
    <col min="1" max="1" width="3.42578125" style="211" customWidth="1"/>
    <col min="2" max="2" width="77.42578125" style="211" customWidth="1"/>
    <col min="3" max="3" width="16.7109375" style="211" bestFit="1" customWidth="1"/>
    <col min="4" max="4" width="17" style="211" bestFit="1" customWidth="1"/>
    <col min="5" max="5" width="13.5703125" style="209" bestFit="1" customWidth="1"/>
    <col min="6" max="6" width="12.5703125" style="209" bestFit="1" customWidth="1"/>
    <col min="7" max="16384" width="9.140625" style="209"/>
  </cols>
  <sheetData>
    <row r="1" spans="1:7">
      <c r="A1" s="596" t="s">
        <v>252</v>
      </c>
      <c r="B1" s="596"/>
      <c r="C1" s="596"/>
      <c r="D1" s="596"/>
    </row>
    <row r="2" spans="1:7">
      <c r="B2" s="215"/>
      <c r="C2" s="215"/>
      <c r="D2" s="215"/>
    </row>
    <row r="3" spans="1:7">
      <c r="A3" s="597" t="s">
        <v>1117</v>
      </c>
      <c r="B3" s="597"/>
      <c r="C3" s="597"/>
      <c r="D3" s="597"/>
    </row>
    <row r="5" spans="1:7" ht="16.5" thickBot="1">
      <c r="D5" s="257" t="s">
        <v>1132</v>
      </c>
    </row>
    <row r="6" spans="1:7" ht="16.5" thickBot="1">
      <c r="A6" s="617" t="s">
        <v>219</v>
      </c>
      <c r="B6" s="641"/>
      <c r="C6" s="217" t="s">
        <v>409</v>
      </c>
      <c r="D6" s="258" t="s">
        <v>410</v>
      </c>
    </row>
    <row r="7" spans="1:7">
      <c r="A7" s="240"/>
      <c r="B7" s="240" t="s">
        <v>301</v>
      </c>
      <c r="C7" s="260" t="s">
        <v>233</v>
      </c>
      <c r="D7" s="259" t="s">
        <v>233</v>
      </c>
    </row>
    <row r="8" spans="1:7">
      <c r="A8" s="241"/>
      <c r="B8" s="241" t="s">
        <v>302</v>
      </c>
      <c r="C8" s="260" t="s">
        <v>233</v>
      </c>
      <c r="D8" s="260" t="s">
        <v>233</v>
      </c>
    </row>
    <row r="9" spans="1:7">
      <c r="A9" s="241"/>
      <c r="B9" s="241" t="s">
        <v>303</v>
      </c>
      <c r="C9" s="260" t="s">
        <v>233</v>
      </c>
      <c r="D9" s="260" t="s">
        <v>233</v>
      </c>
    </row>
    <row r="10" spans="1:7" ht="16.5" thickBot="1">
      <c r="A10" s="241"/>
      <c r="B10" s="241" t="s">
        <v>304</v>
      </c>
      <c r="C10" s="242">
        <f>39868142-7189060</f>
        <v>32679082</v>
      </c>
      <c r="D10" s="242">
        <v>31399925</v>
      </c>
    </row>
    <row r="11" spans="1:7">
      <c r="A11" s="241"/>
      <c r="B11" s="241" t="s">
        <v>962</v>
      </c>
      <c r="C11" s="260" t="s">
        <v>233</v>
      </c>
      <c r="D11" s="260" t="s">
        <v>233</v>
      </c>
      <c r="G11" s="346"/>
    </row>
    <row r="12" spans="1:7" ht="16.5" thickBot="1">
      <c r="A12" s="241"/>
      <c r="B12" s="241" t="s">
        <v>963</v>
      </c>
      <c r="C12" s="260" t="s">
        <v>233</v>
      </c>
      <c r="D12" s="260" t="s">
        <v>233</v>
      </c>
    </row>
    <row r="13" spans="1:7">
      <c r="A13" s="241"/>
      <c r="B13" s="241" t="s">
        <v>964</v>
      </c>
      <c r="C13" s="242">
        <v>2071701</v>
      </c>
      <c r="D13" s="242">
        <v>2102015</v>
      </c>
      <c r="G13" s="346"/>
    </row>
    <row r="14" spans="1:7">
      <c r="A14" s="241"/>
      <c r="B14" s="241" t="s">
        <v>965</v>
      </c>
      <c r="C14" s="242">
        <v>2290782</v>
      </c>
      <c r="D14" s="242">
        <v>1988814</v>
      </c>
    </row>
    <row r="15" spans="1:7">
      <c r="A15" s="241"/>
      <c r="B15" s="241" t="s">
        <v>966</v>
      </c>
      <c r="C15" s="242">
        <v>8757381</v>
      </c>
      <c r="D15" s="242">
        <v>11901789</v>
      </c>
    </row>
    <row r="16" spans="1:7" ht="48.75" customHeight="1">
      <c r="A16" s="241"/>
      <c r="B16" s="462" t="s">
        <v>967</v>
      </c>
      <c r="C16" s="242">
        <f>749634+1503210+1417575+21090+112700+217950+35426+2888357+3634332+3345293+1062591+1671572+984</f>
        <v>16660714</v>
      </c>
      <c r="D16" s="242">
        <v>17340950</v>
      </c>
    </row>
    <row r="17" spans="1:6">
      <c r="A17" s="241"/>
      <c r="B17" s="241" t="s">
        <v>968</v>
      </c>
      <c r="C17" s="242">
        <v>385631</v>
      </c>
      <c r="D17" s="242">
        <v>282738</v>
      </c>
    </row>
    <row r="18" spans="1:6">
      <c r="A18" s="241"/>
      <c r="B18" s="241" t="s">
        <v>969</v>
      </c>
      <c r="C18" s="260" t="s">
        <v>233</v>
      </c>
      <c r="D18" s="260" t="s">
        <v>233</v>
      </c>
    </row>
    <row r="19" spans="1:6">
      <c r="A19" s="241"/>
      <c r="B19" s="341" t="s">
        <v>970</v>
      </c>
      <c r="C19" s="241">
        <v>171290</v>
      </c>
      <c r="D19" s="242">
        <v>138100</v>
      </c>
    </row>
    <row r="20" spans="1:6">
      <c r="A20" s="241"/>
      <c r="B20" s="241" t="s">
        <v>971</v>
      </c>
      <c r="C20" s="260" t="s">
        <v>233</v>
      </c>
      <c r="D20" s="260" t="s">
        <v>233</v>
      </c>
    </row>
    <row r="21" spans="1:6">
      <c r="A21" s="241"/>
      <c r="B21" s="241" t="s">
        <v>972</v>
      </c>
      <c r="C21" s="260" t="s">
        <v>233</v>
      </c>
      <c r="D21" s="260" t="s">
        <v>233</v>
      </c>
    </row>
    <row r="22" spans="1:6">
      <c r="A22" s="241"/>
      <c r="B22" s="241" t="s">
        <v>973</v>
      </c>
      <c r="C22" s="260" t="s">
        <v>233</v>
      </c>
      <c r="D22" s="260" t="s">
        <v>233</v>
      </c>
    </row>
    <row r="23" spans="1:6">
      <c r="A23" s="241"/>
      <c r="B23" s="241" t="s">
        <v>974</v>
      </c>
      <c r="C23" s="260" t="s">
        <v>233</v>
      </c>
      <c r="D23" s="260" t="s">
        <v>233</v>
      </c>
      <c r="F23" s="445"/>
    </row>
    <row r="24" spans="1:6">
      <c r="A24" s="241"/>
      <c r="B24" s="241" t="s">
        <v>975</v>
      </c>
      <c r="C24" s="260" t="s">
        <v>233</v>
      </c>
      <c r="D24" s="260" t="s">
        <v>233</v>
      </c>
    </row>
    <row r="25" spans="1:6">
      <c r="A25" s="241"/>
      <c r="B25" s="241" t="s">
        <v>976</v>
      </c>
      <c r="C25" s="260" t="s">
        <v>233</v>
      </c>
      <c r="D25" s="260" t="s">
        <v>233</v>
      </c>
    </row>
    <row r="26" spans="1:6">
      <c r="A26" s="241"/>
      <c r="B26" s="241" t="s">
        <v>977</v>
      </c>
      <c r="C26" s="246" t="s">
        <v>233</v>
      </c>
      <c r="D26" s="246" t="s">
        <v>233</v>
      </c>
    </row>
    <row r="27" spans="1:6">
      <c r="A27" s="447"/>
      <c r="B27" s="445" t="s">
        <v>978</v>
      </c>
      <c r="C27" s="447">
        <v>1684420</v>
      </c>
      <c r="D27" s="266">
        <v>2746224</v>
      </c>
    </row>
    <row r="28" spans="1:6">
      <c r="A28" s="241"/>
      <c r="B28" s="320" t="s">
        <v>979</v>
      </c>
      <c r="C28" s="242">
        <v>748479</v>
      </c>
      <c r="D28" s="260">
        <v>701384</v>
      </c>
    </row>
    <row r="29" spans="1:6">
      <c r="A29" s="241"/>
      <c r="B29" s="241" t="s">
        <v>980</v>
      </c>
      <c r="C29" s="260" t="s">
        <v>233</v>
      </c>
      <c r="D29" s="260" t="s">
        <v>233</v>
      </c>
    </row>
    <row r="30" spans="1:6">
      <c r="A30" s="241"/>
      <c r="B30" s="320" t="s">
        <v>981</v>
      </c>
      <c r="C30" s="242">
        <v>30946</v>
      </c>
      <c r="D30" s="242">
        <v>202720</v>
      </c>
    </row>
    <row r="31" spans="1:6">
      <c r="A31" s="241"/>
      <c r="B31" s="241" t="s">
        <v>982</v>
      </c>
      <c r="C31" s="242">
        <v>169140</v>
      </c>
      <c r="D31" s="242">
        <v>213000</v>
      </c>
    </row>
    <row r="32" spans="1:6">
      <c r="A32" s="241"/>
      <c r="B32" s="241" t="s">
        <v>983</v>
      </c>
      <c r="C32" s="260" t="s">
        <v>233</v>
      </c>
      <c r="D32" s="260" t="s">
        <v>233</v>
      </c>
    </row>
    <row r="33" spans="1:5" ht="16.5" thickBot="1">
      <c r="A33" s="247"/>
      <c r="B33" s="247" t="s">
        <v>984</v>
      </c>
      <c r="C33" s="230">
        <v>7456804</v>
      </c>
      <c r="D33" s="230">
        <v>4783236</v>
      </c>
    </row>
    <row r="34" spans="1:5">
      <c r="A34" s="643" t="s">
        <v>1455</v>
      </c>
      <c r="B34" s="643"/>
      <c r="C34" s="643"/>
      <c r="D34" s="643"/>
    </row>
    <row r="35" spans="1:5">
      <c r="A35" s="570" t="s">
        <v>1082</v>
      </c>
      <c r="B35" s="570"/>
      <c r="C35" s="570"/>
      <c r="D35" s="570"/>
    </row>
    <row r="36" spans="1:5">
      <c r="A36" s="264"/>
      <c r="B36" s="264"/>
      <c r="C36" s="264"/>
      <c r="D36" s="264"/>
    </row>
    <row r="37" spans="1:5">
      <c r="A37" s="596" t="s">
        <v>252</v>
      </c>
      <c r="B37" s="596"/>
      <c r="C37" s="596"/>
      <c r="D37" s="596"/>
    </row>
    <row r="38" spans="1:5" ht="12.75" customHeight="1">
      <c r="B38" s="215"/>
      <c r="C38" s="215"/>
      <c r="D38" s="215"/>
    </row>
    <row r="39" spans="1:5">
      <c r="A39" s="597" t="s">
        <v>1117</v>
      </c>
      <c r="B39" s="597"/>
      <c r="C39" s="597"/>
      <c r="D39" s="597"/>
    </row>
    <row r="40" spans="1:5" ht="14.25" customHeight="1"/>
    <row r="41" spans="1:5" ht="16.5" thickBot="1">
      <c r="D41" s="265" t="s">
        <v>1132</v>
      </c>
      <c r="E41" s="265"/>
    </row>
    <row r="42" spans="1:5" ht="16.5" thickBot="1">
      <c r="A42" s="617" t="s">
        <v>248</v>
      </c>
      <c r="B42" s="642"/>
      <c r="C42" s="224" t="s">
        <v>409</v>
      </c>
      <c r="D42" s="217" t="s">
        <v>410</v>
      </c>
    </row>
    <row r="43" spans="1:5">
      <c r="A43" s="240"/>
      <c r="B43" s="445" t="s">
        <v>985</v>
      </c>
      <c r="C43" s="240">
        <f>2201729+28532</f>
        <v>2230261</v>
      </c>
      <c r="D43" s="263">
        <v>4635147</v>
      </c>
    </row>
    <row r="44" spans="1:5">
      <c r="A44" s="241"/>
      <c r="B44" s="341" t="s">
        <v>986</v>
      </c>
      <c r="C44" s="241">
        <v>10720928</v>
      </c>
      <c r="D44" s="266">
        <v>6643933</v>
      </c>
    </row>
    <row r="45" spans="1:5">
      <c r="A45" s="241"/>
      <c r="B45" s="341" t="s">
        <v>987</v>
      </c>
      <c r="C45" s="241">
        <v>914499</v>
      </c>
      <c r="D45" s="242">
        <v>219563</v>
      </c>
    </row>
    <row r="46" spans="1:5">
      <c r="A46" s="241"/>
      <c r="B46" s="241" t="s">
        <v>988</v>
      </c>
      <c r="C46" s="260" t="s">
        <v>233</v>
      </c>
      <c r="D46" s="260" t="s">
        <v>233</v>
      </c>
    </row>
    <row r="47" spans="1:5">
      <c r="A47" s="241"/>
      <c r="B47" s="241" t="s">
        <v>468</v>
      </c>
      <c r="C47" s="242">
        <f>154657352+415403</f>
        <v>155072755</v>
      </c>
      <c r="D47" s="242">
        <v>119821569</v>
      </c>
    </row>
    <row r="48" spans="1:5">
      <c r="A48" s="241"/>
      <c r="B48" s="341" t="s">
        <v>84</v>
      </c>
      <c r="C48" s="241">
        <f>5004968+918681</f>
        <v>5923649</v>
      </c>
      <c r="D48" s="242">
        <v>4958365</v>
      </c>
    </row>
    <row r="49" spans="1:4">
      <c r="A49" s="241"/>
      <c r="B49" s="241" t="s">
        <v>1004</v>
      </c>
      <c r="C49" s="260" t="s">
        <v>233</v>
      </c>
      <c r="D49" s="242">
        <v>122527</v>
      </c>
    </row>
    <row r="50" spans="1:4">
      <c r="A50" s="241"/>
      <c r="B50" s="241" t="s">
        <v>1005</v>
      </c>
      <c r="C50" s="242">
        <v>353354</v>
      </c>
      <c r="D50" s="242">
        <v>959089</v>
      </c>
    </row>
    <row r="51" spans="1:4">
      <c r="A51" s="241"/>
      <c r="B51" s="241" t="s">
        <v>1006</v>
      </c>
      <c r="C51" s="242">
        <f>16115313+3930901</f>
        <v>20046214</v>
      </c>
      <c r="D51" s="242">
        <v>17071405</v>
      </c>
    </row>
    <row r="52" spans="1:4">
      <c r="A52" s="241"/>
      <c r="B52" s="241" t="s">
        <v>1007</v>
      </c>
      <c r="C52" s="242">
        <v>1033913</v>
      </c>
      <c r="D52" s="242">
        <v>1253775</v>
      </c>
    </row>
    <row r="53" spans="1:4">
      <c r="A53" s="241"/>
      <c r="B53" s="241" t="s">
        <v>1008</v>
      </c>
      <c r="C53" s="260" t="s">
        <v>233</v>
      </c>
      <c r="D53" s="242">
        <v>3488</v>
      </c>
    </row>
    <row r="54" spans="1:4">
      <c r="A54" s="241"/>
      <c r="B54" s="241" t="s">
        <v>1009</v>
      </c>
      <c r="C54" s="260" t="s">
        <v>233</v>
      </c>
      <c r="D54" s="220" t="s">
        <v>233</v>
      </c>
    </row>
    <row r="55" spans="1:4">
      <c r="A55" s="241"/>
      <c r="B55" s="241" t="s">
        <v>1010</v>
      </c>
      <c r="C55" s="242">
        <v>7708946</v>
      </c>
      <c r="D55" s="242">
        <v>3822512</v>
      </c>
    </row>
    <row r="56" spans="1:4">
      <c r="A56" s="241"/>
      <c r="B56" s="320" t="s">
        <v>989</v>
      </c>
      <c r="C56" s="260" t="s">
        <v>233</v>
      </c>
      <c r="D56" s="220" t="s">
        <v>233</v>
      </c>
    </row>
    <row r="57" spans="1:4">
      <c r="A57" s="241"/>
      <c r="B57" s="320" t="s">
        <v>990</v>
      </c>
      <c r="C57" s="260" t="s">
        <v>233</v>
      </c>
      <c r="D57" s="220" t="s">
        <v>233</v>
      </c>
    </row>
    <row r="58" spans="1:4">
      <c r="A58" s="241"/>
      <c r="B58" s="320" t="s">
        <v>991</v>
      </c>
      <c r="C58" s="260" t="s">
        <v>233</v>
      </c>
      <c r="D58" s="227">
        <v>174105</v>
      </c>
    </row>
    <row r="59" spans="1:4">
      <c r="A59" s="241"/>
      <c r="B59" s="320" t="s">
        <v>992</v>
      </c>
      <c r="C59" s="242">
        <v>6493658</v>
      </c>
      <c r="D59" s="242">
        <v>4772573</v>
      </c>
    </row>
    <row r="60" spans="1:4">
      <c r="A60" s="241"/>
      <c r="B60" s="320" t="s">
        <v>993</v>
      </c>
      <c r="C60" s="242">
        <f>16218909+1063699</f>
        <v>17282608</v>
      </c>
      <c r="D60" s="242">
        <v>13034933</v>
      </c>
    </row>
    <row r="61" spans="1:4">
      <c r="A61" s="241"/>
      <c r="B61" s="320" t="s">
        <v>994</v>
      </c>
      <c r="C61" s="242">
        <v>15423</v>
      </c>
      <c r="D61" s="242">
        <v>11328</v>
      </c>
    </row>
    <row r="62" spans="1:4">
      <c r="A62" s="241"/>
      <c r="B62" s="320" t="s">
        <v>995</v>
      </c>
      <c r="C62" s="260" t="s">
        <v>233</v>
      </c>
      <c r="D62" s="220" t="s">
        <v>233</v>
      </c>
    </row>
    <row r="63" spans="1:4">
      <c r="A63" s="241"/>
      <c r="B63" s="320" t="s">
        <v>996</v>
      </c>
      <c r="C63" s="242">
        <v>692818</v>
      </c>
      <c r="D63" s="242">
        <v>570678</v>
      </c>
    </row>
    <row r="64" spans="1:4">
      <c r="A64" s="241"/>
      <c r="B64" s="241" t="s">
        <v>997</v>
      </c>
      <c r="C64" s="260"/>
      <c r="D64" s="242"/>
    </row>
    <row r="65" spans="1:6">
      <c r="A65" s="241"/>
      <c r="B65" s="320" t="s">
        <v>363</v>
      </c>
      <c r="C65" s="242">
        <v>1392645</v>
      </c>
      <c r="D65" s="242">
        <v>1829498</v>
      </c>
    </row>
    <row r="66" spans="1:6">
      <c r="A66" s="241"/>
      <c r="B66" s="320" t="s">
        <v>364</v>
      </c>
      <c r="C66" s="260" t="s">
        <v>233</v>
      </c>
      <c r="D66" s="220" t="s">
        <v>233</v>
      </c>
    </row>
    <row r="67" spans="1:6">
      <c r="A67" s="241"/>
      <c r="B67" s="320" t="s">
        <v>365</v>
      </c>
      <c r="C67" s="260" t="s">
        <v>233</v>
      </c>
      <c r="D67" s="242">
        <v>80392</v>
      </c>
    </row>
    <row r="68" spans="1:6" ht="16.5" thickBot="1">
      <c r="A68" s="247"/>
      <c r="B68" s="334" t="s">
        <v>366</v>
      </c>
      <c r="C68" s="247">
        <v>1021893</v>
      </c>
      <c r="D68" s="230">
        <v>693571</v>
      </c>
    </row>
    <row r="69" spans="1:6">
      <c r="A69" s="613" t="s">
        <v>1456</v>
      </c>
      <c r="B69" s="613"/>
      <c r="C69" s="613"/>
      <c r="D69" s="613"/>
    </row>
    <row r="70" spans="1:6">
      <c r="A70" s="544"/>
      <c r="B70" s="544"/>
      <c r="C70" s="544"/>
      <c r="D70" s="544"/>
    </row>
    <row r="71" spans="1:6">
      <c r="A71" s="544"/>
      <c r="B71" s="544"/>
      <c r="C71" s="544"/>
      <c r="D71" s="544"/>
    </row>
    <row r="72" spans="1:6" ht="16.5" thickBot="1">
      <c r="A72" s="570" t="s">
        <v>1083</v>
      </c>
      <c r="B72" s="570"/>
      <c r="C72" s="570"/>
      <c r="D72" s="570"/>
    </row>
    <row r="73" spans="1:6">
      <c r="A73" s="240"/>
      <c r="B73" s="332" t="s">
        <v>367</v>
      </c>
      <c r="C73" s="240">
        <v>108680</v>
      </c>
      <c r="D73" s="263">
        <v>297518</v>
      </c>
    </row>
    <row r="74" spans="1:6">
      <c r="A74" s="241"/>
      <c r="B74" s="333" t="s">
        <v>390</v>
      </c>
      <c r="C74" s="241">
        <v>226141</v>
      </c>
      <c r="D74" s="242">
        <v>397714</v>
      </c>
    </row>
    <row r="75" spans="1:6">
      <c r="A75" s="241"/>
      <c r="B75" s="320" t="s">
        <v>368</v>
      </c>
      <c r="C75" s="260" t="s">
        <v>233</v>
      </c>
      <c r="D75" s="260" t="s">
        <v>233</v>
      </c>
    </row>
    <row r="76" spans="1:6">
      <c r="A76" s="241"/>
      <c r="B76" s="320" t="s">
        <v>369</v>
      </c>
      <c r="C76" s="260" t="s">
        <v>233</v>
      </c>
      <c r="D76" s="220" t="s">
        <v>233</v>
      </c>
    </row>
    <row r="77" spans="1:6">
      <c r="A77" s="241"/>
      <c r="B77" s="320" t="s">
        <v>391</v>
      </c>
      <c r="C77" s="242">
        <v>9721555</v>
      </c>
      <c r="D77" s="242">
        <v>13659003</v>
      </c>
    </row>
    <row r="78" spans="1:6">
      <c r="A78" s="241"/>
      <c r="B78" s="241" t="s">
        <v>361</v>
      </c>
      <c r="C78" s="242">
        <f>8045452.5+7216654.5</f>
        <v>15262107</v>
      </c>
      <c r="D78" s="267">
        <v>14791297</v>
      </c>
    </row>
    <row r="79" spans="1:6">
      <c r="A79" s="241"/>
      <c r="B79" s="241" t="s">
        <v>998</v>
      </c>
      <c r="C79" s="242">
        <f>14944573+30157</f>
        <v>14974730</v>
      </c>
      <c r="D79" s="242">
        <v>16105375</v>
      </c>
      <c r="E79" s="209">
        <f>1237852+14902396</f>
        <v>16140248</v>
      </c>
      <c r="F79" s="209">
        <f>C79-E79</f>
        <v>-1165518</v>
      </c>
    </row>
    <row r="80" spans="1:6">
      <c r="A80" s="241"/>
      <c r="B80" s="241" t="s">
        <v>999</v>
      </c>
      <c r="C80" s="260" t="s">
        <v>233</v>
      </c>
      <c r="D80" s="260" t="s">
        <v>233</v>
      </c>
    </row>
    <row r="81" spans="1:4">
      <c r="A81" s="241"/>
      <c r="B81" s="241" t="s">
        <v>1000</v>
      </c>
      <c r="C81" s="260" t="s">
        <v>233</v>
      </c>
      <c r="D81" s="242">
        <v>3686053</v>
      </c>
    </row>
    <row r="82" spans="1:4">
      <c r="A82" s="241"/>
      <c r="B82" s="241" t="s">
        <v>1001</v>
      </c>
      <c r="C82" s="242">
        <v>291579</v>
      </c>
      <c r="D82" s="242">
        <v>495743</v>
      </c>
    </row>
    <row r="83" spans="1:4">
      <c r="A83" s="241"/>
      <c r="B83" s="341" t="s">
        <v>1002</v>
      </c>
      <c r="C83" s="241">
        <v>44913</v>
      </c>
      <c r="D83" s="242">
        <v>79323</v>
      </c>
    </row>
    <row r="84" spans="1:4">
      <c r="A84" s="241"/>
      <c r="B84" s="341" t="s">
        <v>1003</v>
      </c>
      <c r="C84" s="241">
        <v>1815000</v>
      </c>
      <c r="D84" s="242">
        <v>1980000</v>
      </c>
    </row>
    <row r="85" spans="1:4">
      <c r="A85" s="241"/>
      <c r="B85" s="341" t="s">
        <v>1135</v>
      </c>
      <c r="C85" s="241">
        <v>982891</v>
      </c>
      <c r="D85" s="220" t="s">
        <v>233</v>
      </c>
    </row>
    <row r="86" spans="1:4">
      <c r="A86" s="241"/>
      <c r="B86" s="241"/>
      <c r="C86" s="260"/>
      <c r="D86" s="242"/>
    </row>
    <row r="87" spans="1:4">
      <c r="A87" s="241"/>
      <c r="B87" s="341" t="s">
        <v>1134</v>
      </c>
      <c r="C87" s="241"/>
      <c r="D87" s="242"/>
    </row>
    <row r="88" spans="1:4">
      <c r="A88" s="241"/>
      <c r="B88" s="241" t="s">
        <v>855</v>
      </c>
      <c r="C88" s="260" t="s">
        <v>233</v>
      </c>
      <c r="D88" s="220" t="s">
        <v>233</v>
      </c>
    </row>
    <row r="89" spans="1:4">
      <c r="A89" s="241"/>
      <c r="B89" s="241" t="s">
        <v>856</v>
      </c>
      <c r="C89" s="260" t="s">
        <v>233</v>
      </c>
      <c r="D89" s="220" t="s">
        <v>233</v>
      </c>
    </row>
    <row r="90" spans="1:4">
      <c r="A90" s="241"/>
      <c r="B90" s="241" t="s">
        <v>857</v>
      </c>
      <c r="C90" s="260" t="s">
        <v>233</v>
      </c>
      <c r="D90" s="242">
        <v>79344</v>
      </c>
    </row>
    <row r="91" spans="1:4">
      <c r="A91" s="241"/>
      <c r="B91" s="241" t="s">
        <v>858</v>
      </c>
      <c r="C91" s="260" t="s">
        <v>233</v>
      </c>
      <c r="D91" s="260" t="s">
        <v>233</v>
      </c>
    </row>
    <row r="92" spans="1:4" ht="16.5" thickBot="1">
      <c r="A92" s="321"/>
      <c r="B92" s="247"/>
      <c r="C92" s="230"/>
      <c r="D92" s="230"/>
    </row>
    <row r="93" spans="1:4" ht="16.5" thickBot="1">
      <c r="A93" s="343"/>
      <c r="B93" s="463" t="s">
        <v>411</v>
      </c>
      <c r="C93" s="210">
        <f>SUM(C7:C33,C43:C92)</f>
        <v>347437530</v>
      </c>
      <c r="D93" s="210">
        <f>SUM(D7:D33,D43:D92)</f>
        <v>306050716</v>
      </c>
    </row>
    <row r="94" spans="1:4">
      <c r="A94" s="209"/>
      <c r="B94" s="209"/>
    </row>
    <row r="95" spans="1:4">
      <c r="A95" s="603"/>
      <c r="B95" s="603"/>
      <c r="C95" s="603"/>
      <c r="D95" s="603"/>
    </row>
    <row r="108" spans="1:4">
      <c r="A108" s="570" t="s">
        <v>1084</v>
      </c>
      <c r="B108" s="570"/>
      <c r="C108" s="570"/>
      <c r="D108" s="570"/>
    </row>
  </sheetData>
  <mergeCells count="12">
    <mergeCell ref="A69:D69"/>
    <mergeCell ref="A108:D108"/>
    <mergeCell ref="A95:D95"/>
    <mergeCell ref="A1:D1"/>
    <mergeCell ref="A3:D3"/>
    <mergeCell ref="A6:B6"/>
    <mergeCell ref="A42:B42"/>
    <mergeCell ref="A72:D72"/>
    <mergeCell ref="A37:D37"/>
    <mergeCell ref="A39:D39"/>
    <mergeCell ref="A35:D35"/>
    <mergeCell ref="A34:D34"/>
  </mergeCells>
  <phoneticPr fontId="0" type="noConversion"/>
  <printOptions horizontalCentered="1"/>
  <pageMargins left="0.19685039370078741" right="0.19685039370078741" top="0.39370078740157483" bottom="0.19685039370078741" header="0" footer="0"/>
  <pageSetup paperSize="9" scale="96" fitToHeight="4" orientation="landscape" horizontalDpi="4294967293" verticalDpi="4294967293" r:id="rId1"/>
  <headerFooter alignWithMargins="0"/>
  <rowBreaks count="2" manualBreakCount="2">
    <brk id="35" max="3" man="1"/>
    <brk id="72" max="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5"/>
  <dimension ref="A1:C35"/>
  <sheetViews>
    <sheetView view="pageBreakPreview" zoomScale="90" zoomScaleSheetLayoutView="90" workbookViewId="0">
      <selection activeCell="F27" sqref="F27"/>
    </sheetView>
  </sheetViews>
  <sheetFormatPr defaultColWidth="9.140625" defaultRowHeight="15.75"/>
  <cols>
    <col min="1" max="1" width="91.28515625" style="351" customWidth="1"/>
    <col min="2" max="3" width="15.85546875" style="459" customWidth="1"/>
    <col min="4" max="16384" width="9.140625" style="351"/>
  </cols>
  <sheetData>
    <row r="1" spans="1:3">
      <c r="A1" s="586" t="s">
        <v>252</v>
      </c>
      <c r="B1" s="586"/>
      <c r="C1" s="586"/>
    </row>
    <row r="2" spans="1:3">
      <c r="A2" s="457"/>
      <c r="B2" s="458"/>
      <c r="C2" s="458"/>
    </row>
    <row r="3" spans="1:3">
      <c r="A3" s="587" t="s">
        <v>1117</v>
      </c>
      <c r="B3" s="587"/>
      <c r="C3" s="587"/>
    </row>
    <row r="5" spans="1:3">
      <c r="B5" s="644" t="s">
        <v>1132</v>
      </c>
      <c r="C5" s="644"/>
    </row>
    <row r="6" spans="1:3" ht="16.5" thickBot="1"/>
    <row r="7" spans="1:3" ht="16.5" thickBot="1">
      <c r="A7" s="355" t="s">
        <v>220</v>
      </c>
      <c r="B7" s="366" t="s">
        <v>409</v>
      </c>
      <c r="C7" s="366" t="s">
        <v>410</v>
      </c>
    </row>
    <row r="8" spans="1:3">
      <c r="A8" s="356"/>
      <c r="B8" s="460" t="s">
        <v>233</v>
      </c>
      <c r="C8" s="460" t="s">
        <v>233</v>
      </c>
    </row>
    <row r="9" spans="1:3">
      <c r="A9" s="297" t="s">
        <v>221</v>
      </c>
      <c r="B9" s="293" t="s">
        <v>233</v>
      </c>
      <c r="C9" s="293" t="s">
        <v>233</v>
      </c>
    </row>
    <row r="10" spans="1:3">
      <c r="A10" s="297" t="s">
        <v>222</v>
      </c>
      <c r="B10" s="293" t="s">
        <v>233</v>
      </c>
      <c r="C10" s="293" t="s">
        <v>233</v>
      </c>
    </row>
    <row r="11" spans="1:3" ht="16.5" thickBot="1">
      <c r="A11" s="299"/>
      <c r="B11" s="312" t="s">
        <v>233</v>
      </c>
      <c r="C11" s="312" t="s">
        <v>233</v>
      </c>
    </row>
    <row r="12" spans="1:3" ht="16.5" thickBot="1">
      <c r="A12" s="355" t="s">
        <v>411</v>
      </c>
      <c r="B12" s="360" t="s">
        <v>233</v>
      </c>
      <c r="C12" s="360" t="s">
        <v>233</v>
      </c>
    </row>
    <row r="13" spans="1:3">
      <c r="A13" s="363"/>
      <c r="B13" s="354"/>
      <c r="C13" s="354"/>
    </row>
    <row r="14" spans="1:3">
      <c r="A14" s="362" t="s">
        <v>223</v>
      </c>
      <c r="B14" s="354"/>
      <c r="C14" s="354"/>
    </row>
    <row r="15" spans="1:3">
      <c r="A15" s="363"/>
      <c r="B15" s="354"/>
      <c r="C15" s="354"/>
    </row>
    <row r="16" spans="1:3">
      <c r="A16" s="363"/>
      <c r="B16" s="354"/>
      <c r="C16" s="354"/>
    </row>
    <row r="17" spans="1:3" ht="16.5" thickBot="1">
      <c r="A17" s="363"/>
      <c r="B17" s="644" t="s">
        <v>1132</v>
      </c>
      <c r="C17" s="644"/>
    </row>
    <row r="18" spans="1:3" ht="16.5" thickBot="1">
      <c r="A18" s="355" t="s">
        <v>224</v>
      </c>
      <c r="B18" s="366" t="s">
        <v>409</v>
      </c>
      <c r="C18" s="366" t="s">
        <v>410</v>
      </c>
    </row>
    <row r="19" spans="1:3">
      <c r="A19" s="356"/>
      <c r="B19" s="460" t="s">
        <v>233</v>
      </c>
      <c r="C19" s="460" t="s">
        <v>233</v>
      </c>
    </row>
    <row r="20" spans="1:3">
      <c r="A20" s="297" t="s">
        <v>225</v>
      </c>
      <c r="B20" s="293" t="s">
        <v>233</v>
      </c>
      <c r="C20" s="293" t="s">
        <v>233</v>
      </c>
    </row>
    <row r="21" spans="1:3">
      <c r="A21" s="297" t="s">
        <v>226</v>
      </c>
      <c r="B21" s="293" t="s">
        <v>233</v>
      </c>
      <c r="C21" s="293" t="s">
        <v>233</v>
      </c>
    </row>
    <row r="22" spans="1:3">
      <c r="A22" s="297" t="s">
        <v>227</v>
      </c>
      <c r="B22" s="293" t="s">
        <v>233</v>
      </c>
      <c r="C22" s="293" t="s">
        <v>233</v>
      </c>
    </row>
    <row r="23" spans="1:3" ht="16.5" thickBot="1">
      <c r="A23" s="461"/>
      <c r="B23" s="310" t="s">
        <v>233</v>
      </c>
      <c r="C23" s="310" t="s">
        <v>233</v>
      </c>
    </row>
    <row r="24" spans="1:3" ht="16.5" thickBot="1">
      <c r="A24" s="355" t="s">
        <v>411</v>
      </c>
      <c r="B24" s="360" t="s">
        <v>233</v>
      </c>
      <c r="C24" s="360" t="s">
        <v>233</v>
      </c>
    </row>
    <row r="32" spans="1:3">
      <c r="A32" s="364"/>
      <c r="B32" s="364"/>
      <c r="C32" s="364"/>
    </row>
    <row r="35" spans="1:3">
      <c r="A35" s="582" t="s">
        <v>1413</v>
      </c>
      <c r="B35" s="582"/>
      <c r="C35" s="582"/>
    </row>
  </sheetData>
  <mergeCells count="5">
    <mergeCell ref="A35:C35"/>
    <mergeCell ref="A1:C1"/>
    <mergeCell ref="A3:C3"/>
    <mergeCell ref="B5:C5"/>
    <mergeCell ref="B17:C17"/>
  </mergeCells>
  <phoneticPr fontId="0" type="noConversion"/>
  <printOptions horizontalCentered="1"/>
  <pageMargins left="0.19685039370078741" right="0.19685039370078741" top="0.39370078740157483" bottom="0.19685039370078741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2:G153"/>
  <sheetViews>
    <sheetView topLeftCell="A56" workbookViewId="0">
      <selection activeCell="A3" sqref="A3:C3"/>
    </sheetView>
  </sheetViews>
  <sheetFormatPr defaultColWidth="9.140625" defaultRowHeight="15.75"/>
  <cols>
    <col min="1" max="1" width="48.42578125" style="50" bestFit="1" customWidth="1"/>
    <col min="2" max="2" width="13.7109375" style="55" bestFit="1" customWidth="1"/>
    <col min="3" max="3" width="12.7109375" style="55" bestFit="1" customWidth="1"/>
    <col min="4" max="4" width="12.5703125" style="55" customWidth="1"/>
    <col min="5" max="5" width="15.140625" style="50" customWidth="1"/>
    <col min="6" max="6" width="10.5703125" style="50" bestFit="1" customWidth="1"/>
    <col min="7" max="7" width="14.28515625" style="50" bestFit="1" customWidth="1"/>
    <col min="8" max="16384" width="9.140625" style="50"/>
  </cols>
  <sheetData>
    <row r="2" spans="1:5">
      <c r="A2" s="96" t="s">
        <v>781</v>
      </c>
    </row>
    <row r="4" spans="1:5" ht="16.5" thickBot="1"/>
    <row r="5" spans="1:5" ht="16.5" thickBot="1">
      <c r="A5" s="140" t="s">
        <v>541</v>
      </c>
      <c r="B5" s="141" t="s">
        <v>542</v>
      </c>
      <c r="C5" s="141" t="s">
        <v>543</v>
      </c>
      <c r="D5" s="142" t="s">
        <v>544</v>
      </c>
    </row>
    <row r="6" spans="1:5">
      <c r="A6" s="114" t="s">
        <v>545</v>
      </c>
      <c r="B6" s="115">
        <v>1610467.69</v>
      </c>
      <c r="C6" s="115">
        <f>B6*10/100</f>
        <v>161046.76899999997</v>
      </c>
      <c r="D6" s="115">
        <f>B6-C6</f>
        <v>1449420.9210000001</v>
      </c>
    </row>
    <row r="7" spans="1:5">
      <c r="A7" s="143" t="s">
        <v>546</v>
      </c>
      <c r="B7" s="144">
        <v>174089.7</v>
      </c>
      <c r="C7" s="115">
        <f t="shared" ref="C7:C70" si="0">B7*10/100</f>
        <v>17408.97</v>
      </c>
      <c r="D7" s="144">
        <f>B7-C7</f>
        <v>156680.73000000001</v>
      </c>
    </row>
    <row r="8" spans="1:5">
      <c r="A8" s="143" t="s">
        <v>547</v>
      </c>
      <c r="B8" s="144">
        <v>152827.79999999999</v>
      </c>
      <c r="C8" s="115">
        <f t="shared" si="0"/>
        <v>15282.78</v>
      </c>
      <c r="D8" s="144">
        <f t="shared" ref="D8:D71" si="1">B8-C8</f>
        <v>137545.01999999999</v>
      </c>
    </row>
    <row r="9" spans="1:5">
      <c r="A9" s="143" t="s">
        <v>548</v>
      </c>
      <c r="B9" s="144">
        <v>60009.84</v>
      </c>
      <c r="C9" s="115">
        <f t="shared" si="0"/>
        <v>6000.9839999999995</v>
      </c>
      <c r="D9" s="144">
        <f t="shared" si="1"/>
        <v>54008.856</v>
      </c>
    </row>
    <row r="10" spans="1:5">
      <c r="A10" s="143" t="s">
        <v>549</v>
      </c>
      <c r="B10" s="144">
        <v>125681.04</v>
      </c>
      <c r="C10" s="115">
        <f t="shared" si="0"/>
        <v>12568.103999999999</v>
      </c>
      <c r="D10" s="144">
        <f t="shared" si="1"/>
        <v>113112.93599999999</v>
      </c>
    </row>
    <row r="11" spans="1:5">
      <c r="A11" s="143" t="s">
        <v>550</v>
      </c>
      <c r="B11" s="144">
        <v>523781.23</v>
      </c>
      <c r="C11" s="115">
        <f t="shared" si="0"/>
        <v>52378.123</v>
      </c>
      <c r="D11" s="144">
        <f t="shared" si="1"/>
        <v>471403.10699999996</v>
      </c>
      <c r="E11" s="55"/>
    </row>
    <row r="12" spans="1:5">
      <c r="A12" s="143" t="s">
        <v>551</v>
      </c>
      <c r="B12" s="144">
        <v>346360.86</v>
      </c>
      <c r="C12" s="115">
        <f t="shared" si="0"/>
        <v>34636.085999999996</v>
      </c>
      <c r="D12" s="144">
        <f t="shared" si="1"/>
        <v>311724.77399999998</v>
      </c>
    </row>
    <row r="13" spans="1:5">
      <c r="A13" s="143" t="s">
        <v>552</v>
      </c>
      <c r="B13" s="144">
        <v>192793.68</v>
      </c>
      <c r="C13" s="115">
        <f t="shared" si="0"/>
        <v>19279.367999999999</v>
      </c>
      <c r="D13" s="144">
        <f t="shared" si="1"/>
        <v>173514.31200000001</v>
      </c>
    </row>
    <row r="14" spans="1:5">
      <c r="A14" s="143" t="s">
        <v>553</v>
      </c>
      <c r="B14" s="144">
        <v>678302.77</v>
      </c>
      <c r="C14" s="115">
        <f t="shared" si="0"/>
        <v>67830.277000000002</v>
      </c>
      <c r="D14" s="144">
        <f t="shared" si="1"/>
        <v>610472.49300000002</v>
      </c>
    </row>
    <row r="15" spans="1:5">
      <c r="A15" s="143" t="s">
        <v>554</v>
      </c>
      <c r="B15" s="144">
        <v>320837.31</v>
      </c>
      <c r="C15" s="115">
        <f t="shared" si="0"/>
        <v>32083.731</v>
      </c>
      <c r="D15" s="144">
        <f t="shared" si="1"/>
        <v>288753.57900000003</v>
      </c>
    </row>
    <row r="16" spans="1:5">
      <c r="A16" s="143" t="s">
        <v>555</v>
      </c>
      <c r="B16" s="144">
        <v>359544.6</v>
      </c>
      <c r="C16" s="115">
        <f t="shared" si="0"/>
        <v>35954.46</v>
      </c>
      <c r="D16" s="144">
        <f t="shared" si="1"/>
        <v>323590.13999999996</v>
      </c>
    </row>
    <row r="17" spans="1:4">
      <c r="A17" s="143" t="s">
        <v>556</v>
      </c>
      <c r="B17" s="144">
        <v>226481.26</v>
      </c>
      <c r="C17" s="115">
        <f t="shared" si="0"/>
        <v>22648.126</v>
      </c>
      <c r="D17" s="144">
        <f t="shared" si="1"/>
        <v>203833.13400000002</v>
      </c>
    </row>
    <row r="18" spans="1:4">
      <c r="A18" s="143" t="s">
        <v>557</v>
      </c>
      <c r="B18" s="144">
        <v>385249.45</v>
      </c>
      <c r="C18" s="115">
        <f t="shared" si="0"/>
        <v>38524.945</v>
      </c>
      <c r="D18" s="144">
        <f t="shared" si="1"/>
        <v>346724.505</v>
      </c>
    </row>
    <row r="19" spans="1:4">
      <c r="A19" s="143" t="s">
        <v>558</v>
      </c>
      <c r="B19" s="144">
        <v>705442.68</v>
      </c>
      <c r="C19" s="115">
        <f t="shared" si="0"/>
        <v>70544.268000000011</v>
      </c>
      <c r="D19" s="144">
        <f t="shared" si="1"/>
        <v>634898.41200000001</v>
      </c>
    </row>
    <row r="20" spans="1:4">
      <c r="A20" s="143" t="s">
        <v>559</v>
      </c>
      <c r="B20" s="144">
        <v>808266.95</v>
      </c>
      <c r="C20" s="115">
        <f t="shared" si="0"/>
        <v>80826.695000000007</v>
      </c>
      <c r="D20" s="144">
        <f t="shared" si="1"/>
        <v>727440.25499999989</v>
      </c>
    </row>
    <row r="21" spans="1:4">
      <c r="A21" s="143" t="s">
        <v>560</v>
      </c>
      <c r="B21" s="144">
        <v>29550.06</v>
      </c>
      <c r="C21" s="115">
        <f t="shared" si="0"/>
        <v>2955.0060000000003</v>
      </c>
      <c r="D21" s="144">
        <f t="shared" si="1"/>
        <v>26595.054</v>
      </c>
    </row>
    <row r="22" spans="1:4">
      <c r="A22" s="143" t="s">
        <v>561</v>
      </c>
      <c r="B22" s="144">
        <v>407059.83</v>
      </c>
      <c r="C22" s="115">
        <f t="shared" si="0"/>
        <v>40705.983</v>
      </c>
      <c r="D22" s="144">
        <f t="shared" si="1"/>
        <v>366353.84700000001</v>
      </c>
    </row>
    <row r="23" spans="1:4">
      <c r="A23" s="143" t="s">
        <v>562</v>
      </c>
      <c r="B23" s="144">
        <v>29752.78</v>
      </c>
      <c r="C23" s="115">
        <f t="shared" si="0"/>
        <v>2975.2779999999998</v>
      </c>
      <c r="D23" s="144">
        <f t="shared" si="1"/>
        <v>26777.502</v>
      </c>
    </row>
    <row r="24" spans="1:4">
      <c r="A24" s="143" t="s">
        <v>563</v>
      </c>
      <c r="B24" s="144">
        <v>212967.18</v>
      </c>
      <c r="C24" s="115">
        <f t="shared" si="0"/>
        <v>21296.717999999997</v>
      </c>
      <c r="D24" s="144">
        <f t="shared" si="1"/>
        <v>191670.462</v>
      </c>
    </row>
    <row r="25" spans="1:4">
      <c r="A25" s="143" t="s">
        <v>564</v>
      </c>
      <c r="B25" s="144">
        <v>190859.08</v>
      </c>
      <c r="C25" s="115">
        <f t="shared" si="0"/>
        <v>19085.907999999999</v>
      </c>
      <c r="D25" s="144">
        <f t="shared" si="1"/>
        <v>171773.17199999999</v>
      </c>
    </row>
    <row r="26" spans="1:4">
      <c r="A26" s="143" t="s">
        <v>565</v>
      </c>
      <c r="B26" s="144">
        <v>82124.95</v>
      </c>
      <c r="C26" s="115">
        <f t="shared" si="0"/>
        <v>8212.4950000000008</v>
      </c>
      <c r="D26" s="144">
        <f t="shared" si="1"/>
        <v>73912.455000000002</v>
      </c>
    </row>
    <row r="27" spans="1:4">
      <c r="A27" s="143" t="s">
        <v>566</v>
      </c>
      <c r="B27" s="144">
        <v>256748.31</v>
      </c>
      <c r="C27" s="115">
        <f t="shared" si="0"/>
        <v>25674.831000000002</v>
      </c>
      <c r="D27" s="144">
        <f t="shared" si="1"/>
        <v>231073.47899999999</v>
      </c>
    </row>
    <row r="28" spans="1:4">
      <c r="A28" s="143" t="s">
        <v>567</v>
      </c>
      <c r="B28" s="144">
        <v>42570</v>
      </c>
      <c r="C28" s="115">
        <f t="shared" si="0"/>
        <v>4257</v>
      </c>
      <c r="D28" s="144">
        <f t="shared" si="1"/>
        <v>38313</v>
      </c>
    </row>
    <row r="29" spans="1:4">
      <c r="A29" s="143" t="s">
        <v>568</v>
      </c>
      <c r="B29" s="144">
        <v>153910.03</v>
      </c>
      <c r="C29" s="115">
        <f t="shared" si="0"/>
        <v>15391.003000000001</v>
      </c>
      <c r="D29" s="144">
        <f t="shared" si="1"/>
        <v>138519.027</v>
      </c>
    </row>
    <row r="30" spans="1:4">
      <c r="A30" s="143" t="s">
        <v>569</v>
      </c>
      <c r="B30" s="144">
        <v>178722.45</v>
      </c>
      <c r="C30" s="115">
        <f t="shared" si="0"/>
        <v>17872.244999999999</v>
      </c>
      <c r="D30" s="144">
        <f t="shared" si="1"/>
        <v>160850.20500000002</v>
      </c>
    </row>
    <row r="31" spans="1:4">
      <c r="A31" s="143" t="s">
        <v>570</v>
      </c>
      <c r="B31" s="144">
        <v>169104.55</v>
      </c>
      <c r="C31" s="115">
        <f t="shared" si="0"/>
        <v>16910.455000000002</v>
      </c>
      <c r="D31" s="144">
        <f t="shared" si="1"/>
        <v>152194.09499999997</v>
      </c>
    </row>
    <row r="32" spans="1:4">
      <c r="A32" s="143" t="s">
        <v>571</v>
      </c>
      <c r="B32" s="144">
        <v>192562.83</v>
      </c>
      <c r="C32" s="115">
        <f t="shared" si="0"/>
        <v>19256.282999999999</v>
      </c>
      <c r="D32" s="144">
        <f t="shared" si="1"/>
        <v>173306.54699999999</v>
      </c>
    </row>
    <row r="33" spans="1:4">
      <c r="A33" s="143" t="s">
        <v>572</v>
      </c>
      <c r="B33" s="144">
        <v>35187.75</v>
      </c>
      <c r="C33" s="115">
        <f t="shared" si="0"/>
        <v>3518.7750000000001</v>
      </c>
      <c r="D33" s="144">
        <f t="shared" si="1"/>
        <v>31668.974999999999</v>
      </c>
    </row>
    <row r="34" spans="1:4">
      <c r="A34" s="143" t="s">
        <v>573</v>
      </c>
      <c r="B34" s="144">
        <v>36883.71</v>
      </c>
      <c r="C34" s="115">
        <f t="shared" si="0"/>
        <v>3688.3709999999996</v>
      </c>
      <c r="D34" s="144">
        <f t="shared" si="1"/>
        <v>33195.339</v>
      </c>
    </row>
    <row r="35" spans="1:4">
      <c r="A35" s="143" t="s">
        <v>574</v>
      </c>
      <c r="B35" s="144">
        <v>248357.83</v>
      </c>
      <c r="C35" s="115">
        <f t="shared" si="0"/>
        <v>24835.782999999999</v>
      </c>
      <c r="D35" s="144">
        <f t="shared" si="1"/>
        <v>223522.04699999999</v>
      </c>
    </row>
    <row r="36" spans="1:4">
      <c r="A36" s="143" t="s">
        <v>575</v>
      </c>
      <c r="B36" s="144">
        <v>248660.1</v>
      </c>
      <c r="C36" s="115">
        <f t="shared" si="0"/>
        <v>24866.01</v>
      </c>
      <c r="D36" s="144">
        <f t="shared" si="1"/>
        <v>223794.09</v>
      </c>
    </row>
    <row r="37" spans="1:4">
      <c r="A37" s="143" t="s">
        <v>576</v>
      </c>
      <c r="B37" s="144">
        <v>149741.1</v>
      </c>
      <c r="C37" s="115">
        <f t="shared" si="0"/>
        <v>14974.11</v>
      </c>
      <c r="D37" s="144">
        <f t="shared" si="1"/>
        <v>134766.99</v>
      </c>
    </row>
    <row r="38" spans="1:4">
      <c r="A38" s="143" t="s">
        <v>577</v>
      </c>
      <c r="B38" s="144">
        <v>48182.87</v>
      </c>
      <c r="C38" s="115">
        <f t="shared" si="0"/>
        <v>4818.2870000000003</v>
      </c>
      <c r="D38" s="144">
        <f t="shared" si="1"/>
        <v>43364.582999999999</v>
      </c>
    </row>
    <row r="39" spans="1:4">
      <c r="A39" s="143" t="s">
        <v>578</v>
      </c>
      <c r="B39" s="144">
        <v>170403.21</v>
      </c>
      <c r="C39" s="115">
        <f t="shared" si="0"/>
        <v>17040.321</v>
      </c>
      <c r="D39" s="144">
        <f t="shared" si="1"/>
        <v>153362.889</v>
      </c>
    </row>
    <row r="40" spans="1:4">
      <c r="A40" s="143" t="s">
        <v>579</v>
      </c>
      <c r="B40" s="144">
        <v>692505.63</v>
      </c>
      <c r="C40" s="115">
        <f t="shared" si="0"/>
        <v>69250.562999999995</v>
      </c>
      <c r="D40" s="144">
        <f t="shared" si="1"/>
        <v>623255.06700000004</v>
      </c>
    </row>
    <row r="41" spans="1:4">
      <c r="A41" s="143" t="s">
        <v>580</v>
      </c>
      <c r="B41" s="144">
        <v>61002.54</v>
      </c>
      <c r="C41" s="115">
        <f t="shared" si="0"/>
        <v>6100.2539999999999</v>
      </c>
      <c r="D41" s="144">
        <f t="shared" si="1"/>
        <v>54902.286</v>
      </c>
    </row>
    <row r="42" spans="1:4">
      <c r="A42" s="143" t="s">
        <v>581</v>
      </c>
      <c r="B42" s="144">
        <v>141940.71</v>
      </c>
      <c r="C42" s="115">
        <f t="shared" si="0"/>
        <v>14194.070999999998</v>
      </c>
      <c r="D42" s="144">
        <f t="shared" si="1"/>
        <v>127746.639</v>
      </c>
    </row>
    <row r="43" spans="1:4">
      <c r="A43" s="143" t="s">
        <v>582</v>
      </c>
      <c r="B43" s="144">
        <v>34562.519999999997</v>
      </c>
      <c r="C43" s="115">
        <f t="shared" si="0"/>
        <v>3456.2519999999995</v>
      </c>
      <c r="D43" s="144">
        <f t="shared" si="1"/>
        <v>31106.267999999996</v>
      </c>
    </row>
    <row r="44" spans="1:4">
      <c r="A44" s="143" t="s">
        <v>583</v>
      </c>
      <c r="B44" s="144">
        <v>408862.91</v>
      </c>
      <c r="C44" s="115">
        <f t="shared" si="0"/>
        <v>40886.290999999997</v>
      </c>
      <c r="D44" s="144">
        <f t="shared" si="1"/>
        <v>367976.61899999995</v>
      </c>
    </row>
    <row r="45" spans="1:4">
      <c r="A45" s="143" t="s">
        <v>584</v>
      </c>
      <c r="B45" s="144">
        <v>266092.33</v>
      </c>
      <c r="C45" s="115">
        <f t="shared" si="0"/>
        <v>26609.233000000004</v>
      </c>
      <c r="D45" s="144">
        <f t="shared" si="1"/>
        <v>239483.09700000001</v>
      </c>
    </row>
    <row r="46" spans="1:4">
      <c r="A46" s="143" t="s">
        <v>585</v>
      </c>
      <c r="B46" s="144">
        <v>161279.72</v>
      </c>
      <c r="C46" s="115">
        <f t="shared" si="0"/>
        <v>16127.972</v>
      </c>
      <c r="D46" s="144">
        <f t="shared" si="1"/>
        <v>145151.74799999999</v>
      </c>
    </row>
    <row r="47" spans="1:4">
      <c r="A47" s="143" t="s">
        <v>586</v>
      </c>
      <c r="B47" s="144">
        <v>64232.73</v>
      </c>
      <c r="C47" s="115">
        <f t="shared" si="0"/>
        <v>6423.2730000000001</v>
      </c>
      <c r="D47" s="144">
        <f t="shared" si="1"/>
        <v>57809.457000000002</v>
      </c>
    </row>
    <row r="48" spans="1:4">
      <c r="A48" s="143" t="s">
        <v>587</v>
      </c>
      <c r="B48" s="144">
        <v>46988.82</v>
      </c>
      <c r="C48" s="115">
        <f t="shared" si="0"/>
        <v>4698.8820000000005</v>
      </c>
      <c r="D48" s="144">
        <f t="shared" si="1"/>
        <v>42289.938000000002</v>
      </c>
    </row>
    <row r="49" spans="1:5">
      <c r="A49" s="143" t="s">
        <v>588</v>
      </c>
      <c r="B49" s="144">
        <v>20946.53</v>
      </c>
      <c r="C49" s="115">
        <f t="shared" si="0"/>
        <v>2094.6529999999998</v>
      </c>
      <c r="D49" s="144">
        <f t="shared" si="1"/>
        <v>18851.877</v>
      </c>
    </row>
    <row r="50" spans="1:5">
      <c r="A50" s="143" t="s">
        <v>589</v>
      </c>
      <c r="B50" s="144">
        <v>273829.14</v>
      </c>
      <c r="C50" s="115">
        <f t="shared" si="0"/>
        <v>27382.914000000004</v>
      </c>
      <c r="D50" s="144">
        <f t="shared" si="1"/>
        <v>246446.22600000002</v>
      </c>
    </row>
    <row r="51" spans="1:5">
      <c r="A51" s="143" t="s">
        <v>590</v>
      </c>
      <c r="B51" s="144">
        <v>411645.56</v>
      </c>
      <c r="C51" s="115">
        <f t="shared" si="0"/>
        <v>41164.556000000004</v>
      </c>
      <c r="D51" s="144">
        <f t="shared" si="1"/>
        <v>370481.00400000002</v>
      </c>
    </row>
    <row r="52" spans="1:5">
      <c r="A52" s="143" t="s">
        <v>591</v>
      </c>
      <c r="B52" s="144">
        <v>247350.39</v>
      </c>
      <c r="C52" s="115">
        <f t="shared" si="0"/>
        <v>24735.039000000004</v>
      </c>
      <c r="D52" s="144">
        <f t="shared" si="1"/>
        <v>222615.35100000002</v>
      </c>
    </row>
    <row r="53" spans="1:5">
      <c r="A53" s="143" t="s">
        <v>592</v>
      </c>
      <c r="B53" s="144">
        <v>392014.93</v>
      </c>
      <c r="C53" s="115">
        <f t="shared" si="0"/>
        <v>39201.492999999995</v>
      </c>
      <c r="D53" s="144">
        <f t="shared" si="1"/>
        <v>352813.43699999998</v>
      </c>
      <c r="E53" s="98"/>
    </row>
    <row r="54" spans="1:5">
      <c r="A54" s="143" t="s">
        <v>593</v>
      </c>
      <c r="B54" s="144">
        <v>338118.3</v>
      </c>
      <c r="C54" s="115">
        <f t="shared" si="0"/>
        <v>33811.83</v>
      </c>
      <c r="D54" s="144">
        <f t="shared" si="1"/>
        <v>304306.46999999997</v>
      </c>
    </row>
    <row r="55" spans="1:5">
      <c r="A55" s="143" t="s">
        <v>594</v>
      </c>
      <c r="B55" s="144">
        <v>45138.1</v>
      </c>
      <c r="C55" s="115">
        <f t="shared" si="0"/>
        <v>4513.8100000000004</v>
      </c>
      <c r="D55" s="144">
        <f t="shared" si="1"/>
        <v>40624.29</v>
      </c>
    </row>
    <row r="56" spans="1:5">
      <c r="A56" s="143" t="s">
        <v>595</v>
      </c>
      <c r="B56" s="144">
        <v>184134.5</v>
      </c>
      <c r="C56" s="115">
        <f t="shared" si="0"/>
        <v>18413.45</v>
      </c>
      <c r="D56" s="144">
        <f t="shared" si="1"/>
        <v>165721.04999999999</v>
      </c>
    </row>
    <row r="57" spans="1:5">
      <c r="A57" s="143" t="s">
        <v>596</v>
      </c>
      <c r="B57" s="144">
        <v>162354.6</v>
      </c>
      <c r="C57" s="115">
        <f t="shared" si="0"/>
        <v>16235.46</v>
      </c>
      <c r="D57" s="144">
        <f t="shared" si="1"/>
        <v>146119.14000000001</v>
      </c>
    </row>
    <row r="58" spans="1:5">
      <c r="A58" s="143" t="s">
        <v>597</v>
      </c>
      <c r="B58" s="144">
        <v>87047.1</v>
      </c>
      <c r="C58" s="115">
        <f t="shared" si="0"/>
        <v>8704.7099999999991</v>
      </c>
      <c r="D58" s="144">
        <f t="shared" si="1"/>
        <v>78342.390000000014</v>
      </c>
    </row>
    <row r="59" spans="1:5">
      <c r="A59" s="143" t="s">
        <v>598</v>
      </c>
      <c r="B59" s="144">
        <v>701420.8</v>
      </c>
      <c r="C59" s="115">
        <f t="shared" si="0"/>
        <v>70142.080000000002</v>
      </c>
      <c r="D59" s="144">
        <f t="shared" si="1"/>
        <v>631278.72000000009</v>
      </c>
    </row>
    <row r="60" spans="1:5">
      <c r="A60" s="143" t="s">
        <v>599</v>
      </c>
      <c r="B60" s="144">
        <v>419920.62</v>
      </c>
      <c r="C60" s="115">
        <f t="shared" si="0"/>
        <v>41992.062000000005</v>
      </c>
      <c r="D60" s="144">
        <f t="shared" si="1"/>
        <v>377928.55799999996</v>
      </c>
    </row>
    <row r="61" spans="1:5">
      <c r="A61" s="143" t="s">
        <v>600</v>
      </c>
      <c r="B61" s="144">
        <v>48415.32</v>
      </c>
      <c r="C61" s="115">
        <f t="shared" si="0"/>
        <v>4841.5320000000002</v>
      </c>
      <c r="D61" s="144">
        <f t="shared" si="1"/>
        <v>43573.788</v>
      </c>
    </row>
    <row r="62" spans="1:5">
      <c r="A62" s="143" t="s">
        <v>601</v>
      </c>
      <c r="B62" s="144">
        <v>180500.89</v>
      </c>
      <c r="C62" s="115">
        <f t="shared" si="0"/>
        <v>18050.089</v>
      </c>
      <c r="D62" s="144">
        <f t="shared" si="1"/>
        <v>162450.80100000001</v>
      </c>
    </row>
    <row r="63" spans="1:5">
      <c r="A63" s="143" t="s">
        <v>602</v>
      </c>
      <c r="B63" s="144">
        <v>167800.59</v>
      </c>
      <c r="C63" s="115">
        <f t="shared" si="0"/>
        <v>16780.058999999997</v>
      </c>
      <c r="D63" s="144">
        <f t="shared" si="1"/>
        <v>151020.53099999999</v>
      </c>
    </row>
    <row r="64" spans="1:5">
      <c r="A64" s="143" t="s">
        <v>603</v>
      </c>
      <c r="B64" s="144">
        <v>210184.6</v>
      </c>
      <c r="C64" s="115">
        <f t="shared" si="0"/>
        <v>21018.46</v>
      </c>
      <c r="D64" s="144">
        <f t="shared" si="1"/>
        <v>189166.14</v>
      </c>
    </row>
    <row r="65" spans="1:4">
      <c r="A65" s="143" t="s">
        <v>604</v>
      </c>
      <c r="B65" s="144">
        <v>41995.89</v>
      </c>
      <c r="C65" s="115">
        <f t="shared" si="0"/>
        <v>4199.5889999999999</v>
      </c>
      <c r="D65" s="144">
        <f t="shared" si="1"/>
        <v>37796.300999999999</v>
      </c>
    </row>
    <row r="66" spans="1:4">
      <c r="A66" s="143" t="s">
        <v>605</v>
      </c>
      <c r="B66" s="144">
        <v>227795.08</v>
      </c>
      <c r="C66" s="115">
        <f t="shared" si="0"/>
        <v>22779.507999999998</v>
      </c>
      <c r="D66" s="144">
        <f t="shared" si="1"/>
        <v>205015.57199999999</v>
      </c>
    </row>
    <row r="67" spans="1:4">
      <c r="A67" s="143" t="s">
        <v>606</v>
      </c>
      <c r="B67" s="144">
        <v>178519.72</v>
      </c>
      <c r="C67" s="115">
        <f t="shared" si="0"/>
        <v>17851.971999999998</v>
      </c>
      <c r="D67" s="144">
        <f t="shared" si="1"/>
        <v>160667.74799999999</v>
      </c>
    </row>
    <row r="68" spans="1:4">
      <c r="A68" s="143" t="s">
        <v>607</v>
      </c>
      <c r="B68" s="144">
        <v>448410.73</v>
      </c>
      <c r="C68" s="115">
        <f t="shared" si="0"/>
        <v>44841.072999999997</v>
      </c>
      <c r="D68" s="144">
        <f t="shared" si="1"/>
        <v>403569.65700000001</v>
      </c>
    </row>
    <row r="69" spans="1:4">
      <c r="A69" s="143" t="s">
        <v>608</v>
      </c>
      <c r="B69" s="144">
        <v>88791.96</v>
      </c>
      <c r="C69" s="115">
        <f t="shared" si="0"/>
        <v>8879.1960000000017</v>
      </c>
      <c r="D69" s="144">
        <f t="shared" si="1"/>
        <v>79912.76400000001</v>
      </c>
    </row>
    <row r="70" spans="1:4">
      <c r="A70" s="143" t="s">
        <v>609</v>
      </c>
      <c r="B70" s="144">
        <v>187387.11</v>
      </c>
      <c r="C70" s="115">
        <f t="shared" si="0"/>
        <v>18738.710999999999</v>
      </c>
      <c r="D70" s="144">
        <f t="shared" si="1"/>
        <v>168648.39899999998</v>
      </c>
    </row>
    <row r="71" spans="1:4">
      <c r="A71" s="143" t="s">
        <v>610</v>
      </c>
      <c r="B71" s="144">
        <v>332574.48</v>
      </c>
      <c r="C71" s="115">
        <f t="shared" ref="C71:C94" si="2">B71*10/100</f>
        <v>33257.447999999997</v>
      </c>
      <c r="D71" s="144">
        <f t="shared" si="1"/>
        <v>299317.03200000001</v>
      </c>
    </row>
    <row r="72" spans="1:4">
      <c r="A72" s="143" t="s">
        <v>611</v>
      </c>
      <c r="B72" s="144">
        <v>179902.18</v>
      </c>
      <c r="C72" s="115">
        <f t="shared" si="2"/>
        <v>17990.217999999997</v>
      </c>
      <c r="D72" s="144">
        <f t="shared" ref="D72:D73" si="3">B72-C72</f>
        <v>161911.962</v>
      </c>
    </row>
    <row r="73" spans="1:4">
      <c r="A73" s="143" t="s">
        <v>612</v>
      </c>
      <c r="B73" s="144">
        <v>135438.84</v>
      </c>
      <c r="C73" s="115">
        <f t="shared" si="2"/>
        <v>13543.883999999998</v>
      </c>
      <c r="D73" s="144">
        <f t="shared" si="3"/>
        <v>121894.95600000001</v>
      </c>
    </row>
    <row r="74" spans="1:4">
      <c r="A74" s="143" t="s">
        <v>613</v>
      </c>
      <c r="B74" s="144">
        <v>95095</v>
      </c>
      <c r="C74" s="115">
        <f t="shared" si="2"/>
        <v>9509.5</v>
      </c>
      <c r="D74" s="144">
        <f>B74-C74</f>
        <v>85585.5</v>
      </c>
    </row>
    <row r="75" spans="1:4">
      <c r="A75" s="143" t="s">
        <v>614</v>
      </c>
      <c r="B75" s="144">
        <v>290978.34999999998</v>
      </c>
      <c r="C75" s="115">
        <f t="shared" si="2"/>
        <v>29097.834999999999</v>
      </c>
      <c r="D75" s="144">
        <f t="shared" ref="D75:D94" si="4">B75-C75</f>
        <v>261880.51499999998</v>
      </c>
    </row>
    <row r="76" spans="1:4">
      <c r="A76" s="143" t="s">
        <v>615</v>
      </c>
      <c r="B76" s="144">
        <v>297129.59999999998</v>
      </c>
      <c r="C76" s="115">
        <f t="shared" si="2"/>
        <v>29712.959999999999</v>
      </c>
      <c r="D76" s="144">
        <f t="shared" si="4"/>
        <v>267416.63999999996</v>
      </c>
    </row>
    <row r="77" spans="1:4">
      <c r="A77" s="143" t="s">
        <v>616</v>
      </c>
      <c r="B77" s="144"/>
      <c r="C77" s="115">
        <f t="shared" si="2"/>
        <v>0</v>
      </c>
      <c r="D77" s="144">
        <f t="shared" si="4"/>
        <v>0</v>
      </c>
    </row>
    <row r="78" spans="1:4">
      <c r="A78" s="143" t="s">
        <v>617</v>
      </c>
      <c r="B78" s="144">
        <v>43155.65</v>
      </c>
      <c r="C78" s="115">
        <f t="shared" si="2"/>
        <v>4315.5649999999996</v>
      </c>
      <c r="D78" s="144">
        <f t="shared" si="4"/>
        <v>38840.084999999999</v>
      </c>
    </row>
    <row r="79" spans="1:4">
      <c r="A79" s="143" t="s">
        <v>618</v>
      </c>
      <c r="B79" s="144">
        <v>618212.5</v>
      </c>
      <c r="C79" s="115">
        <f t="shared" si="2"/>
        <v>61821.25</v>
      </c>
      <c r="D79" s="144">
        <f t="shared" si="4"/>
        <v>556391.25</v>
      </c>
    </row>
    <row r="80" spans="1:4">
      <c r="A80" s="143" t="s">
        <v>619</v>
      </c>
      <c r="B80" s="144">
        <v>259977.95</v>
      </c>
      <c r="C80" s="115">
        <f t="shared" si="2"/>
        <v>25997.794999999998</v>
      </c>
      <c r="D80" s="144">
        <f t="shared" si="4"/>
        <v>233980.15500000003</v>
      </c>
    </row>
    <row r="81" spans="1:4">
      <c r="A81" s="143" t="s">
        <v>620</v>
      </c>
      <c r="B81" s="143">
        <v>186005.25</v>
      </c>
      <c r="C81" s="115">
        <f t="shared" si="2"/>
        <v>18600.525000000001</v>
      </c>
      <c r="D81" s="144">
        <f t="shared" si="4"/>
        <v>167404.72500000001</v>
      </c>
    </row>
    <row r="82" spans="1:4">
      <c r="A82" s="143" t="s">
        <v>621</v>
      </c>
      <c r="B82" s="144">
        <v>248056.4</v>
      </c>
      <c r="C82" s="115">
        <f t="shared" si="2"/>
        <v>24805.64</v>
      </c>
      <c r="D82" s="144">
        <f t="shared" si="4"/>
        <v>223250.76</v>
      </c>
    </row>
    <row r="83" spans="1:4">
      <c r="A83" s="143" t="s">
        <v>622</v>
      </c>
      <c r="B83" s="144">
        <v>44879.9</v>
      </c>
      <c r="C83" s="115">
        <f t="shared" si="2"/>
        <v>4487.99</v>
      </c>
      <c r="D83" s="144">
        <f t="shared" si="4"/>
        <v>40391.910000000003</v>
      </c>
    </row>
    <row r="84" spans="1:4">
      <c r="A84" s="143" t="s">
        <v>623</v>
      </c>
      <c r="B84" s="144">
        <v>492337.5</v>
      </c>
      <c r="C84" s="115">
        <f t="shared" si="2"/>
        <v>49233.75</v>
      </c>
      <c r="D84" s="144">
        <f t="shared" si="4"/>
        <v>443103.75</v>
      </c>
    </row>
    <row r="85" spans="1:4">
      <c r="A85" s="143" t="s">
        <v>624</v>
      </c>
      <c r="B85" s="144">
        <v>67277.100000000006</v>
      </c>
      <c r="C85" s="115">
        <f t="shared" si="2"/>
        <v>6727.71</v>
      </c>
      <c r="D85" s="144">
        <f t="shared" si="4"/>
        <v>60549.390000000007</v>
      </c>
    </row>
    <row r="86" spans="1:4">
      <c r="A86" s="143" t="s">
        <v>625</v>
      </c>
      <c r="B86" s="144">
        <v>144130.20000000001</v>
      </c>
      <c r="C86" s="115">
        <f t="shared" si="2"/>
        <v>14413.02</v>
      </c>
      <c r="D86" s="144">
        <f t="shared" si="4"/>
        <v>129717.18000000001</v>
      </c>
    </row>
    <row r="87" spans="1:4">
      <c r="A87" s="143" t="s">
        <v>626</v>
      </c>
      <c r="B87" s="144">
        <v>143981.04999999999</v>
      </c>
      <c r="C87" s="115">
        <f t="shared" si="2"/>
        <v>14398.105</v>
      </c>
      <c r="D87" s="144">
        <f t="shared" si="4"/>
        <v>129582.94499999999</v>
      </c>
    </row>
    <row r="88" spans="1:4">
      <c r="A88" s="143" t="s">
        <v>627</v>
      </c>
      <c r="B88" s="144">
        <v>499466.3</v>
      </c>
      <c r="C88" s="115">
        <f t="shared" si="2"/>
        <v>49946.63</v>
      </c>
      <c r="D88" s="144">
        <f t="shared" si="4"/>
        <v>449519.67</v>
      </c>
    </row>
    <row r="89" spans="1:4">
      <c r="A89" s="143" t="s">
        <v>628</v>
      </c>
      <c r="B89" s="144">
        <v>193513.1</v>
      </c>
      <c r="C89" s="115">
        <f t="shared" si="2"/>
        <v>19351.310000000001</v>
      </c>
      <c r="D89" s="144">
        <f t="shared" si="4"/>
        <v>174161.79</v>
      </c>
    </row>
    <row r="90" spans="1:4">
      <c r="A90" s="143" t="s">
        <v>629</v>
      </c>
      <c r="B90" s="144">
        <v>451453.3</v>
      </c>
      <c r="C90" s="115">
        <f t="shared" si="2"/>
        <v>45145.33</v>
      </c>
      <c r="D90" s="144">
        <f t="shared" si="4"/>
        <v>406307.97</v>
      </c>
    </row>
    <row r="91" spans="1:4">
      <c r="A91" s="143" t="s">
        <v>630</v>
      </c>
      <c r="B91" s="144">
        <v>186440.35</v>
      </c>
      <c r="C91" s="115">
        <f t="shared" si="2"/>
        <v>18644.035</v>
      </c>
      <c r="D91" s="144">
        <f t="shared" si="4"/>
        <v>167796.315</v>
      </c>
    </row>
    <row r="92" spans="1:4">
      <c r="A92" s="143" t="s">
        <v>631</v>
      </c>
      <c r="B92" s="144">
        <v>684000</v>
      </c>
      <c r="C92" s="115">
        <f t="shared" si="2"/>
        <v>68400</v>
      </c>
      <c r="D92" s="144">
        <f t="shared" si="4"/>
        <v>615600</v>
      </c>
    </row>
    <row r="93" spans="1:4">
      <c r="A93" s="143" t="s">
        <v>632</v>
      </c>
      <c r="B93" s="144">
        <v>167614.20000000001</v>
      </c>
      <c r="C93" s="115">
        <f t="shared" si="2"/>
        <v>16761.419999999998</v>
      </c>
      <c r="D93" s="144">
        <f t="shared" si="4"/>
        <v>150852.78000000003</v>
      </c>
    </row>
    <row r="94" spans="1:4" ht="16.5" thickBot="1">
      <c r="A94" s="145" t="s">
        <v>633</v>
      </c>
      <c r="B94" s="146">
        <v>60918.75</v>
      </c>
      <c r="C94" s="115">
        <f t="shared" si="2"/>
        <v>6091.875</v>
      </c>
      <c r="D94" s="146">
        <f t="shared" si="4"/>
        <v>54826.875</v>
      </c>
    </row>
    <row r="95" spans="1:4" ht="16.5" thickBot="1">
      <c r="A95" s="138" t="s">
        <v>288</v>
      </c>
      <c r="B95" s="147">
        <f>SUM(B6:B94)</f>
        <v>22317213.800000008</v>
      </c>
      <c r="C95" s="147">
        <f>SUM(C6:C94)</f>
        <v>2231721.38</v>
      </c>
      <c r="D95" s="148">
        <f>SUM(D6:D94)</f>
        <v>20085492.420000013</v>
      </c>
    </row>
    <row r="103" spans="1:5">
      <c r="A103" s="95" t="s">
        <v>638</v>
      </c>
      <c r="B103" s="99">
        <f>SUM(B6:B73)</f>
        <v>17142591.350000005</v>
      </c>
      <c r="C103" s="99">
        <f>SUM(C6:C73)</f>
        <v>1714259.1350000005</v>
      </c>
      <c r="D103" s="99">
        <f>SUM(D6:D73)</f>
        <v>15428332.215000005</v>
      </c>
      <c r="E103" s="97"/>
    </row>
    <row r="104" spans="1:5">
      <c r="A104" s="95"/>
      <c r="B104" s="99"/>
      <c r="C104" s="99"/>
      <c r="D104" s="99"/>
      <c r="E104" s="97"/>
    </row>
    <row r="105" spans="1:5">
      <c r="A105" s="102" t="s">
        <v>636</v>
      </c>
      <c r="B105" s="50"/>
      <c r="C105" s="101">
        <v>1863264.23</v>
      </c>
      <c r="E105" s="97"/>
    </row>
    <row r="106" spans="1:5">
      <c r="A106" s="103" t="s">
        <v>637</v>
      </c>
      <c r="B106" s="101"/>
      <c r="C106" s="101">
        <f>C105-C103</f>
        <v>149005.09499999951</v>
      </c>
    </row>
    <row r="107" spans="1:5">
      <c r="A107" s="139" t="s">
        <v>639</v>
      </c>
      <c r="C107" s="100">
        <f>C103+C106</f>
        <v>1863264.23</v>
      </c>
    </row>
    <row r="109" spans="1:5">
      <c r="A109" s="96" t="s">
        <v>635</v>
      </c>
    </row>
    <row r="110" spans="1:5" ht="16.5" thickBot="1">
      <c r="A110" s="96"/>
    </row>
    <row r="111" spans="1:5">
      <c r="A111" s="149" t="s">
        <v>541</v>
      </c>
      <c r="B111" s="150" t="s">
        <v>542</v>
      </c>
      <c r="C111" s="150" t="s">
        <v>543</v>
      </c>
      <c r="D111" s="151" t="s">
        <v>544</v>
      </c>
    </row>
    <row r="112" spans="1:5">
      <c r="A112" s="152" t="s">
        <v>782</v>
      </c>
      <c r="B112" s="144">
        <v>94740</v>
      </c>
      <c r="C112" s="144">
        <f>B112*5/100</f>
        <v>4737</v>
      </c>
      <c r="D112" s="153">
        <f>B112-C112</f>
        <v>90003</v>
      </c>
    </row>
    <row r="113" spans="1:6">
      <c r="A113" s="152" t="s">
        <v>783</v>
      </c>
      <c r="B113" s="144">
        <v>32648</v>
      </c>
      <c r="C113" s="144">
        <f t="shared" ref="C113:C128" si="5">B113*5/100</f>
        <v>1632.4</v>
      </c>
      <c r="D113" s="153">
        <f t="shared" ref="D113:D128" si="6">B113-C113</f>
        <v>31015.599999999999</v>
      </c>
    </row>
    <row r="114" spans="1:6">
      <c r="A114" s="152" t="s">
        <v>784</v>
      </c>
      <c r="B114" s="144">
        <v>162130</v>
      </c>
      <c r="C114" s="144">
        <f t="shared" si="5"/>
        <v>8106.5</v>
      </c>
      <c r="D114" s="153">
        <f t="shared" si="6"/>
        <v>154023.5</v>
      </c>
    </row>
    <row r="115" spans="1:6">
      <c r="A115" s="152" t="s">
        <v>785</v>
      </c>
      <c r="B115" s="144">
        <v>155808</v>
      </c>
      <c r="C115" s="144">
        <f t="shared" si="5"/>
        <v>7790.4</v>
      </c>
      <c r="D115" s="153">
        <f t="shared" si="6"/>
        <v>148017.60000000001</v>
      </c>
    </row>
    <row r="116" spans="1:6">
      <c r="A116" s="152" t="s">
        <v>786</v>
      </c>
      <c r="B116" s="144">
        <v>96258</v>
      </c>
      <c r="C116" s="144">
        <f t="shared" si="5"/>
        <v>4812.8999999999996</v>
      </c>
      <c r="D116" s="153">
        <f t="shared" si="6"/>
        <v>91445.1</v>
      </c>
      <c r="F116" s="55">
        <f>C95+C129</f>
        <v>2374681.48</v>
      </c>
    </row>
    <row r="117" spans="1:6">
      <c r="A117" s="152" t="s">
        <v>787</v>
      </c>
      <c r="B117" s="144">
        <v>147559</v>
      </c>
      <c r="C117" s="144">
        <f t="shared" si="5"/>
        <v>7377.95</v>
      </c>
      <c r="D117" s="153">
        <f t="shared" si="6"/>
        <v>140181.04999999999</v>
      </c>
    </row>
    <row r="118" spans="1:6">
      <c r="A118" s="152" t="s">
        <v>788</v>
      </c>
      <c r="B118" s="144">
        <v>411154</v>
      </c>
      <c r="C118" s="144">
        <f t="shared" si="5"/>
        <v>20557.7</v>
      </c>
      <c r="D118" s="153">
        <f t="shared" si="6"/>
        <v>390596.3</v>
      </c>
    </row>
    <row r="119" spans="1:6">
      <c r="A119" s="152" t="s">
        <v>789</v>
      </c>
      <c r="B119" s="144">
        <v>87517</v>
      </c>
      <c r="C119" s="144">
        <f t="shared" si="5"/>
        <v>4375.8500000000004</v>
      </c>
      <c r="D119" s="153">
        <f t="shared" si="6"/>
        <v>83141.149999999994</v>
      </c>
    </row>
    <row r="120" spans="1:6">
      <c r="A120" s="152" t="s">
        <v>790</v>
      </c>
      <c r="B120" s="144">
        <v>189077</v>
      </c>
      <c r="C120" s="144">
        <f t="shared" si="5"/>
        <v>9453.85</v>
      </c>
      <c r="D120" s="153">
        <f t="shared" si="6"/>
        <v>179623.15</v>
      </c>
    </row>
    <row r="121" spans="1:6">
      <c r="A121" s="152" t="s">
        <v>791</v>
      </c>
      <c r="B121" s="144">
        <v>147676</v>
      </c>
      <c r="C121" s="144">
        <f t="shared" si="5"/>
        <v>7383.8</v>
      </c>
      <c r="D121" s="153">
        <f t="shared" si="6"/>
        <v>140292.20000000001</v>
      </c>
    </row>
    <row r="122" spans="1:6">
      <c r="A122" s="152" t="s">
        <v>792</v>
      </c>
      <c r="B122" s="144">
        <v>57892</v>
      </c>
      <c r="C122" s="144">
        <f t="shared" si="5"/>
        <v>2894.6</v>
      </c>
      <c r="D122" s="153">
        <f t="shared" si="6"/>
        <v>54997.4</v>
      </c>
    </row>
    <row r="123" spans="1:6">
      <c r="A123" s="152" t="s">
        <v>793</v>
      </c>
      <c r="B123" s="144">
        <v>1030655</v>
      </c>
      <c r="C123" s="144">
        <f t="shared" si="5"/>
        <v>51532.75</v>
      </c>
      <c r="D123" s="153">
        <f t="shared" si="6"/>
        <v>979122.25</v>
      </c>
    </row>
    <row r="124" spans="1:6">
      <c r="A124" s="152" t="s">
        <v>794</v>
      </c>
      <c r="B124" s="144">
        <v>108533</v>
      </c>
      <c r="C124" s="144">
        <f t="shared" si="5"/>
        <v>5426.65</v>
      </c>
      <c r="D124" s="153">
        <f t="shared" si="6"/>
        <v>103106.35</v>
      </c>
      <c r="F124" s="55">
        <f>C95+C129</f>
        <v>2374681.48</v>
      </c>
    </row>
    <row r="125" spans="1:6">
      <c r="A125" s="152" t="s">
        <v>795</v>
      </c>
      <c r="B125" s="144">
        <v>81115</v>
      </c>
      <c r="C125" s="144">
        <f t="shared" si="5"/>
        <v>4055.75</v>
      </c>
      <c r="D125" s="153">
        <f t="shared" si="6"/>
        <v>77059.25</v>
      </c>
    </row>
    <row r="126" spans="1:6">
      <c r="A126" s="152" t="s">
        <v>796</v>
      </c>
      <c r="B126" s="144">
        <v>8046</v>
      </c>
      <c r="C126" s="144">
        <f t="shared" si="5"/>
        <v>402.3</v>
      </c>
      <c r="D126" s="153">
        <f t="shared" si="6"/>
        <v>7643.7</v>
      </c>
    </row>
    <row r="127" spans="1:6">
      <c r="A127" s="152" t="s">
        <v>797</v>
      </c>
      <c r="B127" s="144">
        <v>17141</v>
      </c>
      <c r="C127" s="144">
        <f t="shared" si="5"/>
        <v>857.05</v>
      </c>
      <c r="D127" s="153">
        <f t="shared" si="6"/>
        <v>16283.95</v>
      </c>
      <c r="E127" s="55">
        <f>C95+C129</f>
        <v>2374681.48</v>
      </c>
    </row>
    <row r="128" spans="1:6" ht="16.5" thickBot="1">
      <c r="A128" s="154" t="s">
        <v>633</v>
      </c>
      <c r="B128" s="111">
        <v>31253</v>
      </c>
      <c r="C128" s="111">
        <f t="shared" si="5"/>
        <v>1562.65</v>
      </c>
      <c r="D128" s="112">
        <f t="shared" si="6"/>
        <v>29690.35</v>
      </c>
    </row>
    <row r="129" spans="1:7">
      <c r="B129" s="100">
        <f>SUM(B112:B128)</f>
        <v>2859202</v>
      </c>
      <c r="C129" s="100">
        <f>SUM(C112:C128)</f>
        <v>142960.09999999998</v>
      </c>
      <c r="D129" s="100">
        <f t="shared" ref="D129" si="7">SUM(D112:D128)</f>
        <v>2716241.9000000004</v>
      </c>
      <c r="E129" s="55">
        <f>B95+B129</f>
        <v>25176415.800000008</v>
      </c>
    </row>
    <row r="130" spans="1:7">
      <c r="B130" s="50"/>
      <c r="C130" s="50"/>
      <c r="D130" s="50"/>
      <c r="F130" s="55">
        <f>B129-B96</f>
        <v>2859202</v>
      </c>
    </row>
    <row r="131" spans="1:7">
      <c r="B131" s="50"/>
      <c r="C131" s="50"/>
      <c r="D131" s="50"/>
      <c r="E131" s="55">
        <f>C95+C129</f>
        <v>2374681.48</v>
      </c>
    </row>
    <row r="132" spans="1:7">
      <c r="B132" s="50"/>
      <c r="C132" s="50"/>
      <c r="D132" s="50"/>
      <c r="G132" s="55">
        <f>C95+C129</f>
        <v>2374681.48</v>
      </c>
    </row>
    <row r="133" spans="1:7">
      <c r="A133" s="95" t="s">
        <v>638</v>
      </c>
      <c r="B133" s="99">
        <f>SUM(B74:B94)</f>
        <v>5174622.4499999993</v>
      </c>
      <c r="C133" s="100">
        <f>SUM(C74:C94)</f>
        <v>517462.24499999994</v>
      </c>
      <c r="D133" s="100">
        <f>SUM(D74:D94)</f>
        <v>4657160.205000001</v>
      </c>
      <c r="E133" s="55"/>
    </row>
    <row r="134" spans="1:7">
      <c r="A134" s="95"/>
      <c r="B134" s="99"/>
      <c r="C134" s="100"/>
      <c r="D134" s="100"/>
      <c r="F134" s="55">
        <f>C129+C95</f>
        <v>2374681.48</v>
      </c>
      <c r="G134" s="55"/>
    </row>
    <row r="135" spans="1:7">
      <c r="A135" s="102" t="s">
        <v>636</v>
      </c>
      <c r="B135" s="50"/>
      <c r="C135" s="100">
        <v>291988.40000000002</v>
      </c>
    </row>
    <row r="136" spans="1:7">
      <c r="A136" s="103" t="s">
        <v>637</v>
      </c>
      <c r="B136" s="50"/>
      <c r="C136" s="100">
        <f>C133-C135</f>
        <v>225473.84499999991</v>
      </c>
      <c r="G136" s="55"/>
    </row>
    <row r="137" spans="1:7">
      <c r="A137" s="139" t="s">
        <v>639</v>
      </c>
      <c r="C137" s="100">
        <f>C133-C136</f>
        <v>291988.40000000002</v>
      </c>
      <c r="F137" s="55">
        <f>C95+C129+B96</f>
        <v>2374681.48</v>
      </c>
    </row>
    <row r="139" spans="1:7">
      <c r="A139" s="95" t="s">
        <v>634</v>
      </c>
      <c r="B139" s="100">
        <f>B103+B133</f>
        <v>22317213.800000004</v>
      </c>
      <c r="C139" s="100">
        <f>C103+C133</f>
        <v>2231721.3800000004</v>
      </c>
      <c r="D139" s="100">
        <f>D103+D133</f>
        <v>20085492.420000006</v>
      </c>
    </row>
    <row r="141" spans="1:7">
      <c r="A141" s="50" t="s">
        <v>640</v>
      </c>
      <c r="B141" s="55">
        <f>B103+B133</f>
        <v>22317213.800000004</v>
      </c>
    </row>
    <row r="142" spans="1:7">
      <c r="A142" s="50" t="s">
        <v>641</v>
      </c>
      <c r="B142" s="55">
        <f>C107+C137</f>
        <v>2155252.63</v>
      </c>
      <c r="C142" s="100">
        <f>C107+C137</f>
        <v>2155252.63</v>
      </c>
      <c r="E142" s="55">
        <f>C95+C129</f>
        <v>2374681.48</v>
      </c>
    </row>
    <row r="143" spans="1:7">
      <c r="A143" s="95" t="s">
        <v>642</v>
      </c>
      <c r="B143" s="100">
        <f>B141-B142</f>
        <v>20161961.170000006</v>
      </c>
      <c r="E143" s="55">
        <f>D95+D129</f>
        <v>22801734.320000015</v>
      </c>
    </row>
    <row r="151" spans="3:3">
      <c r="C151" s="55">
        <f>D95+D129</f>
        <v>22801734.320000015</v>
      </c>
    </row>
    <row r="152" spans="3:3">
      <c r="C152" s="55">
        <v>22651233.690000001</v>
      </c>
    </row>
    <row r="153" spans="3:3">
      <c r="C153" s="55">
        <f>C151-C152</f>
        <v>150500.63000001386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46"/>
  <sheetViews>
    <sheetView view="pageBreakPreview" topLeftCell="A22" zoomScaleSheetLayoutView="100" workbookViewId="0">
      <selection activeCell="F38" sqref="F38"/>
    </sheetView>
  </sheetViews>
  <sheetFormatPr defaultColWidth="9.140625" defaultRowHeight="15.75"/>
  <cols>
    <col min="1" max="1" width="65.140625" style="50" customWidth="1"/>
    <col min="2" max="2" width="15" style="50" customWidth="1"/>
    <col min="3" max="3" width="28" style="50" customWidth="1"/>
    <col min="4" max="4" width="28.5703125" style="50" customWidth="1"/>
    <col min="5" max="5" width="13.7109375" style="50" bestFit="1" customWidth="1"/>
    <col min="6" max="6" width="12.5703125" style="50" bestFit="1" customWidth="1"/>
    <col min="7" max="16384" width="9.140625" style="50"/>
  </cols>
  <sheetData>
    <row r="1" spans="1:6" ht="33.75" customHeight="1">
      <c r="A1" s="557" t="s">
        <v>504</v>
      </c>
      <c r="B1" s="557"/>
      <c r="C1" s="557"/>
      <c r="D1" s="557"/>
    </row>
    <row r="2" spans="1:6" ht="14.25" customHeight="1">
      <c r="A2" s="562"/>
      <c r="B2" s="562"/>
      <c r="C2" s="562"/>
      <c r="D2" s="562"/>
      <c r="E2" s="562"/>
    </row>
    <row r="3" spans="1:6" ht="12.75" customHeight="1">
      <c r="A3" s="555" t="s">
        <v>1119</v>
      </c>
      <c r="B3" s="555"/>
      <c r="C3" s="555"/>
      <c r="D3" s="555"/>
    </row>
    <row r="4" spans="1:6" ht="12.75" customHeight="1">
      <c r="A4" s="51"/>
      <c r="B4" s="51"/>
      <c r="C4" s="51"/>
      <c r="D4" s="51"/>
    </row>
    <row r="5" spans="1:6" ht="16.5" thickBot="1">
      <c r="A5" s="52"/>
      <c r="B5" s="52"/>
      <c r="C5" s="560" t="s">
        <v>1113</v>
      </c>
      <c r="D5" s="560"/>
    </row>
    <row r="6" spans="1:6" ht="16.5" thickBot="1">
      <c r="A6" s="57" t="s">
        <v>423</v>
      </c>
      <c r="B6" s="57" t="s">
        <v>408</v>
      </c>
      <c r="C6" s="57" t="s">
        <v>424</v>
      </c>
      <c r="D6" s="57" t="s">
        <v>410</v>
      </c>
    </row>
    <row r="7" spans="1:6">
      <c r="A7" s="54" t="s">
        <v>425</v>
      </c>
      <c r="B7" s="105">
        <v>12</v>
      </c>
      <c r="C7" s="536">
        <f>'S 12 13'!B20</f>
        <v>24392298</v>
      </c>
      <c r="D7" s="74" t="str">
        <f>'S 12 13'!C20</f>
        <v>-</v>
      </c>
    </row>
    <row r="8" spans="1:6">
      <c r="A8" s="80" t="s">
        <v>274</v>
      </c>
      <c r="B8" s="104">
        <v>13</v>
      </c>
      <c r="C8" s="292">
        <f>'S 12 13'!B77</f>
        <v>1698272898.77</v>
      </c>
      <c r="D8" s="292">
        <f>'S 12 13'!C77</f>
        <v>795613523</v>
      </c>
    </row>
    <row r="9" spans="1:6">
      <c r="A9" s="80" t="s">
        <v>10</v>
      </c>
      <c r="B9" s="104">
        <v>14</v>
      </c>
      <c r="C9" s="292">
        <f>'S 14 15'!D12</f>
        <v>8235079.5</v>
      </c>
      <c r="D9" s="292">
        <f>'S 14 15'!E12</f>
        <v>5070436</v>
      </c>
    </row>
    <row r="10" spans="1:6" ht="28.5" customHeight="1">
      <c r="A10" s="130" t="s">
        <v>251</v>
      </c>
      <c r="B10" s="104">
        <v>15</v>
      </c>
      <c r="C10" s="300" t="s">
        <v>233</v>
      </c>
      <c r="D10" s="300" t="s">
        <v>233</v>
      </c>
    </row>
    <row r="11" spans="1:6">
      <c r="A11" s="80" t="s">
        <v>11</v>
      </c>
      <c r="B11" s="104">
        <v>16</v>
      </c>
      <c r="C11" s="293" t="s">
        <v>233</v>
      </c>
      <c r="D11" s="301" t="s">
        <v>233</v>
      </c>
    </row>
    <row r="12" spans="1:6">
      <c r="A12" s="80" t="s">
        <v>12</v>
      </c>
      <c r="B12" s="104">
        <v>17</v>
      </c>
      <c r="C12" s="292">
        <f>'S 16 17'!B49</f>
        <v>21944948</v>
      </c>
      <c r="D12" s="292">
        <f>'S 16 17'!C49</f>
        <v>26053873</v>
      </c>
    </row>
    <row r="13" spans="1:6">
      <c r="A13" s="80" t="s">
        <v>13</v>
      </c>
      <c r="B13" s="104">
        <v>18</v>
      </c>
      <c r="C13" s="292">
        <f>'S 18  20'!B25</f>
        <v>15787882</v>
      </c>
      <c r="D13" s="292">
        <f>'S 18  20'!C25</f>
        <v>21919703</v>
      </c>
    </row>
    <row r="14" spans="1:6" s="62" customFormat="1">
      <c r="A14" s="80" t="s">
        <v>14</v>
      </c>
      <c r="B14" s="104">
        <v>19</v>
      </c>
      <c r="C14" s="292">
        <f>'S 18  20'!B39</f>
        <v>3706098.0199999996</v>
      </c>
      <c r="D14" s="292">
        <f>'S 18  20'!C39</f>
        <v>-16982149.030000001</v>
      </c>
    </row>
    <row r="15" spans="1:6" s="62" customFormat="1" ht="16.5" thickBot="1">
      <c r="A15" s="56"/>
      <c r="B15" s="76"/>
      <c r="C15" s="302"/>
      <c r="D15" s="294"/>
    </row>
    <row r="16" spans="1:6" ht="16.5" thickBot="1">
      <c r="A16" s="57" t="s">
        <v>15</v>
      </c>
      <c r="B16" s="57"/>
      <c r="C16" s="303">
        <f>SUM(C7:C15)</f>
        <v>1772339204.29</v>
      </c>
      <c r="D16" s="303">
        <f>SUM(D8:D15)</f>
        <v>831675385.97000003</v>
      </c>
      <c r="E16" s="50">
        <v>1462332882.5</v>
      </c>
      <c r="F16" s="55">
        <f>+E16-C16</f>
        <v>-310006321.78999996</v>
      </c>
    </row>
    <row r="17" spans="1:6" ht="16.5" thickBot="1">
      <c r="A17" s="52"/>
      <c r="B17" s="157"/>
      <c r="C17" s="67"/>
      <c r="D17" s="67"/>
    </row>
    <row r="18" spans="1:6" ht="16.5" thickBot="1">
      <c r="A18" s="71" t="s">
        <v>16</v>
      </c>
      <c r="B18" s="57" t="s">
        <v>408</v>
      </c>
      <c r="C18" s="57" t="s">
        <v>424</v>
      </c>
      <c r="D18" s="57" t="s">
        <v>410</v>
      </c>
    </row>
    <row r="19" spans="1:6">
      <c r="A19" s="66" t="s">
        <v>17</v>
      </c>
      <c r="B19" s="105">
        <v>20</v>
      </c>
      <c r="C19" s="304">
        <f>'S 18  20'!B61</f>
        <v>867819056</v>
      </c>
      <c r="D19" s="304">
        <f>'S 18  20'!C61</f>
        <v>706284112</v>
      </c>
    </row>
    <row r="20" spans="1:6">
      <c r="A20" s="68" t="s">
        <v>18</v>
      </c>
      <c r="B20" s="104">
        <v>21</v>
      </c>
      <c r="C20" s="292">
        <f>'S 21'!C93</f>
        <v>347437530</v>
      </c>
      <c r="D20" s="292">
        <f>'S 21'!D93</f>
        <v>306050716</v>
      </c>
      <c r="E20" s="55"/>
      <c r="F20" s="55"/>
    </row>
    <row r="21" spans="1:6">
      <c r="A21" s="68" t="s">
        <v>19</v>
      </c>
      <c r="B21" s="104">
        <v>22</v>
      </c>
      <c r="C21" s="305" t="str">
        <f>'S 22 23'!B12</f>
        <v>-</v>
      </c>
      <c r="D21" s="305" t="str">
        <f>'S 22 23'!C12</f>
        <v>-</v>
      </c>
      <c r="E21" s="55"/>
    </row>
    <row r="22" spans="1:6">
      <c r="A22" s="68" t="s">
        <v>20</v>
      </c>
      <c r="B22" s="104">
        <v>23</v>
      </c>
      <c r="C22" s="305" t="s">
        <v>233</v>
      </c>
      <c r="D22" s="301" t="s">
        <v>233</v>
      </c>
      <c r="E22" s="55"/>
    </row>
    <row r="23" spans="1:6">
      <c r="A23" s="68" t="s">
        <v>21</v>
      </c>
      <c r="B23" s="104">
        <v>8</v>
      </c>
      <c r="C23" s="477">
        <f>'S 8'!G54</f>
        <v>297593572.76999998</v>
      </c>
      <c r="D23" s="292">
        <f>'S 8'!G43</f>
        <v>301065526.85000002</v>
      </c>
    </row>
    <row r="24" spans="1:6" ht="16.5" thickBot="1">
      <c r="A24" s="70"/>
      <c r="B24" s="76"/>
      <c r="C24" s="294"/>
      <c r="D24" s="294"/>
    </row>
    <row r="25" spans="1:6" ht="16.5" thickBot="1">
      <c r="A25" s="71" t="s">
        <v>22</v>
      </c>
      <c r="B25" s="77"/>
      <c r="C25" s="303">
        <f>SUM(C19:C24)</f>
        <v>1512850158.77</v>
      </c>
      <c r="D25" s="303">
        <f>SUM(D19:D24)</f>
        <v>1313400354.8499999</v>
      </c>
      <c r="E25" s="55">
        <v>1212796423</v>
      </c>
      <c r="F25" s="55">
        <f>+E25-C25</f>
        <v>-300053735.76999998</v>
      </c>
    </row>
    <row r="26" spans="1:6" ht="16.5" thickBot="1">
      <c r="A26" s="72"/>
      <c r="B26" s="157"/>
      <c r="C26" s="52"/>
      <c r="D26" s="73"/>
      <c r="F26" s="55"/>
    </row>
    <row r="27" spans="1:6">
      <c r="A27" s="172" t="s">
        <v>530</v>
      </c>
      <c r="B27" s="117"/>
      <c r="C27" s="173">
        <f>C16-C25</f>
        <v>259489045.51999998</v>
      </c>
      <c r="D27" s="173">
        <f>D16-D25</f>
        <v>-481724968.87999988</v>
      </c>
      <c r="E27" s="55"/>
      <c r="F27" s="55"/>
    </row>
    <row r="28" spans="1:6">
      <c r="A28" s="68" t="s">
        <v>23</v>
      </c>
      <c r="B28" s="75"/>
      <c r="C28" s="171" t="str">
        <f>'S 22 23'!B19</f>
        <v>-</v>
      </c>
      <c r="D28" s="171" t="str">
        <f>'S 22 23'!C19</f>
        <v>-</v>
      </c>
    </row>
    <row r="29" spans="1:6" ht="16.5" thickBot="1">
      <c r="A29" s="78" t="s">
        <v>501</v>
      </c>
      <c r="B29" s="79"/>
      <c r="C29" s="203" t="str">
        <f>'S 22 23'!B20</f>
        <v>-</v>
      </c>
      <c r="D29" s="203" t="str">
        <f>'S 22 23'!C20</f>
        <v>-</v>
      </c>
    </row>
    <row r="30" spans="1:6" ht="16.5" thickBot="1">
      <c r="A30" s="52"/>
      <c r="B30" s="157"/>
      <c r="C30" s="52"/>
      <c r="D30" s="67"/>
    </row>
    <row r="31" spans="1:6">
      <c r="A31" s="172" t="s">
        <v>272</v>
      </c>
      <c r="B31" s="174"/>
      <c r="C31" s="173">
        <f>C27</f>
        <v>259489045.51999998</v>
      </c>
      <c r="D31" s="173">
        <f>D27</f>
        <v>-481724968.87999988</v>
      </c>
    </row>
    <row r="32" spans="1:6">
      <c r="A32" s="68" t="s">
        <v>421</v>
      </c>
      <c r="B32" s="104">
        <v>24</v>
      </c>
      <c r="C32" s="171" t="str">
        <f>'S 22 23'!B23</f>
        <v>-</v>
      </c>
      <c r="D32" s="171" t="str">
        <f>'S 22 23'!C23</f>
        <v>-</v>
      </c>
    </row>
    <row r="33" spans="1:4" ht="16.5" thickBot="1">
      <c r="A33" s="78" t="s">
        <v>422</v>
      </c>
      <c r="B33" s="175">
        <v>25</v>
      </c>
      <c r="C33" s="203" t="str">
        <f>'S 22 23'!B24</f>
        <v>-</v>
      </c>
      <c r="D33" s="203" t="str">
        <f>'S 22 23'!C24</f>
        <v>-</v>
      </c>
    </row>
    <row r="35" spans="1:4" ht="15" customHeight="1"/>
    <row r="36" spans="1:4" ht="12.75" customHeight="1">
      <c r="B36" s="58"/>
      <c r="C36" s="556"/>
      <c r="D36" s="556"/>
    </row>
    <row r="37" spans="1:4" ht="15" customHeight="1">
      <c r="A37" s="559" t="s">
        <v>1442</v>
      </c>
      <c r="B37" s="557" t="s">
        <v>1463</v>
      </c>
      <c r="C37" s="557"/>
      <c r="D37" s="557"/>
    </row>
    <row r="38" spans="1:4">
      <c r="A38" s="559"/>
      <c r="B38" s="557"/>
      <c r="C38" s="557"/>
      <c r="D38" s="557"/>
    </row>
    <row r="39" spans="1:4">
      <c r="A39" s="559"/>
      <c r="B39" s="557"/>
      <c r="C39" s="557"/>
      <c r="D39" s="557"/>
    </row>
    <row r="40" spans="1:4" ht="17.25" customHeight="1">
      <c r="A40" s="556" t="s">
        <v>799</v>
      </c>
      <c r="B40" s="556"/>
      <c r="C40" s="556"/>
      <c r="D40" s="556"/>
    </row>
    <row r="41" spans="1:4">
      <c r="A41" s="52"/>
      <c r="B41" s="58"/>
      <c r="C41" s="561"/>
      <c r="D41" s="561"/>
    </row>
    <row r="42" spans="1:4">
      <c r="A42" s="46"/>
      <c r="B42" s="58"/>
      <c r="C42" s="556"/>
      <c r="D42" s="556"/>
    </row>
    <row r="44" spans="1:4">
      <c r="C44" s="559"/>
    </row>
    <row r="45" spans="1:4">
      <c r="C45" s="559"/>
    </row>
    <row r="46" spans="1:4">
      <c r="C46" s="559"/>
    </row>
  </sheetData>
  <mergeCells count="11">
    <mergeCell ref="C44:C46"/>
    <mergeCell ref="C42:D42"/>
    <mergeCell ref="A1:D1"/>
    <mergeCell ref="A3:D3"/>
    <mergeCell ref="C36:D36"/>
    <mergeCell ref="C5:D5"/>
    <mergeCell ref="C41:D41"/>
    <mergeCell ref="A2:E2"/>
    <mergeCell ref="A40:D40"/>
    <mergeCell ref="A37:A39"/>
    <mergeCell ref="B37:D39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8" orientation="landscape" horizontalDpi="4294967293" vertic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7"/>
  <dimension ref="A1:O57"/>
  <sheetViews>
    <sheetView workbookViewId="0">
      <pane xSplit="2" ySplit="4" topLeftCell="C8" activePane="bottomRight" state="frozen"/>
      <selection activeCell="A3" sqref="A3:C3"/>
      <selection pane="topRight" activeCell="A3" sqref="A3:C3"/>
      <selection pane="bottomLeft" activeCell="A3" sqref="A3:C3"/>
      <selection pane="bottomRight" activeCell="L18" sqref="L18"/>
    </sheetView>
  </sheetViews>
  <sheetFormatPr defaultColWidth="9.140625" defaultRowHeight="15.75"/>
  <cols>
    <col min="1" max="1" width="29.42578125" style="36" bestFit="1" customWidth="1"/>
    <col min="2" max="2" width="7" style="36" customWidth="1"/>
    <col min="3" max="3" width="15.5703125" style="37" customWidth="1"/>
    <col min="4" max="4" width="14.42578125" style="37" customWidth="1"/>
    <col min="5" max="5" width="16" style="36" customWidth="1"/>
    <col min="6" max="6" width="17.28515625" style="36" customWidth="1"/>
    <col min="7" max="7" width="15.5703125" style="36" customWidth="1"/>
    <col min="8" max="8" width="15.140625" style="36" customWidth="1"/>
    <col min="9" max="9" width="12.140625" style="36" customWidth="1"/>
    <col min="10" max="10" width="15" style="36" bestFit="1" customWidth="1"/>
    <col min="11" max="11" width="14" style="36" bestFit="1" customWidth="1"/>
    <col min="12" max="12" width="14.85546875" style="36" customWidth="1"/>
    <col min="13" max="13" width="16.5703125" style="36" bestFit="1" customWidth="1"/>
    <col min="14" max="14" width="14.5703125" style="36" customWidth="1"/>
    <col min="15" max="15" width="11.5703125" style="36" bestFit="1" customWidth="1"/>
    <col min="16" max="16384" width="9.140625" style="36"/>
  </cols>
  <sheetData>
    <row r="1" spans="1:15">
      <c r="A1" s="646" t="s">
        <v>1096</v>
      </c>
      <c r="B1" s="646"/>
      <c r="C1" s="646"/>
    </row>
    <row r="2" spans="1:15" ht="18.75" thickBot="1">
      <c r="A2" s="647" t="s">
        <v>1095</v>
      </c>
      <c r="B2" s="647"/>
      <c r="C2" s="647"/>
      <c r="D2" s="647"/>
      <c r="E2" s="647"/>
      <c r="F2" s="35"/>
    </row>
    <row r="3" spans="1:15" ht="26.25" customHeight="1" thickBot="1">
      <c r="A3" s="652" t="s">
        <v>285</v>
      </c>
      <c r="B3" s="650" t="s">
        <v>287</v>
      </c>
      <c r="C3" s="659" t="s">
        <v>496</v>
      </c>
      <c r="D3" s="659" t="s">
        <v>499</v>
      </c>
      <c r="E3" s="650" t="s">
        <v>295</v>
      </c>
      <c r="F3" s="650" t="s">
        <v>277</v>
      </c>
      <c r="G3" s="650" t="s">
        <v>1107</v>
      </c>
      <c r="H3" s="657" t="s">
        <v>1108</v>
      </c>
      <c r="I3" s="662" t="s">
        <v>778</v>
      </c>
      <c r="J3" s="656" t="s">
        <v>287</v>
      </c>
      <c r="K3" s="566"/>
      <c r="L3" s="654" t="s">
        <v>286</v>
      </c>
      <c r="M3" s="648" t="s">
        <v>291</v>
      </c>
    </row>
    <row r="4" spans="1:15" ht="45.75" customHeight="1" thickBot="1">
      <c r="A4" s="653"/>
      <c r="B4" s="651"/>
      <c r="C4" s="660"/>
      <c r="D4" s="660"/>
      <c r="E4" s="651"/>
      <c r="F4" s="661"/>
      <c r="G4" s="651"/>
      <c r="H4" s="658"/>
      <c r="I4" s="663"/>
      <c r="J4" s="89" t="s">
        <v>289</v>
      </c>
      <c r="K4" s="89" t="s">
        <v>290</v>
      </c>
      <c r="L4" s="655"/>
      <c r="M4" s="649"/>
      <c r="N4" s="37"/>
    </row>
    <row r="5" spans="1:15">
      <c r="A5" s="39" t="s">
        <v>278</v>
      </c>
      <c r="B5" s="40"/>
      <c r="C5" s="270"/>
      <c r="D5" s="270"/>
      <c r="E5" s="271"/>
      <c r="F5" s="271"/>
      <c r="G5" s="271"/>
      <c r="H5" s="270"/>
      <c r="I5" s="270"/>
      <c r="J5" s="270"/>
      <c r="K5" s="270"/>
      <c r="L5" s="270"/>
      <c r="M5" s="285"/>
      <c r="N5" s="37"/>
    </row>
    <row r="6" spans="1:15">
      <c r="A6" s="269" t="s">
        <v>258</v>
      </c>
      <c r="B6" s="41">
        <v>0.1</v>
      </c>
      <c r="C6" s="275"/>
      <c r="D6" s="275"/>
      <c r="E6" s="272">
        <v>505960.84</v>
      </c>
      <c r="F6" s="272">
        <f>C6-D6+E6</f>
        <v>505960.84</v>
      </c>
      <c r="G6" s="272">
        <v>505960.84</v>
      </c>
      <c r="H6" s="273"/>
      <c r="I6" s="273"/>
      <c r="J6" s="273">
        <f>Amortization!E10</f>
        <v>1734723.0291262134</v>
      </c>
      <c r="K6" s="273">
        <f>+H6*0.05</f>
        <v>0</v>
      </c>
      <c r="L6" s="273">
        <f>SUM(J6:K6)</f>
        <v>1734723.0291262134</v>
      </c>
      <c r="M6" s="286">
        <f t="shared" ref="M6:M12" si="0">F6-L6</f>
        <v>-1228762.1891262133</v>
      </c>
      <c r="N6" s="37"/>
      <c r="O6" s="37"/>
    </row>
    <row r="7" spans="1:15">
      <c r="A7" s="42" t="s">
        <v>292</v>
      </c>
      <c r="B7" s="41">
        <v>0.1</v>
      </c>
      <c r="C7" s="275"/>
      <c r="D7" s="275"/>
      <c r="E7" s="272">
        <v>347080.75</v>
      </c>
      <c r="F7" s="272">
        <f t="shared" ref="F7:F12" si="1">C7-D7+E7</f>
        <v>347080.75</v>
      </c>
      <c r="G7" s="272">
        <v>347080.75</v>
      </c>
      <c r="H7" s="273"/>
      <c r="I7" s="273"/>
      <c r="J7" s="273">
        <f>Amortization!E11</f>
        <v>1189992.4660194174</v>
      </c>
      <c r="K7" s="273">
        <f t="shared" ref="K7" si="2">+H7*0.05</f>
        <v>0</v>
      </c>
      <c r="L7" s="273">
        <f>SUM(J7:K7)</f>
        <v>1189992.4660194174</v>
      </c>
      <c r="M7" s="286">
        <f t="shared" si="0"/>
        <v>-842911.71601941739</v>
      </c>
      <c r="N7" s="37"/>
      <c r="O7" s="37"/>
    </row>
    <row r="8" spans="1:15">
      <c r="A8" s="42" t="s">
        <v>293</v>
      </c>
      <c r="B8" s="41">
        <v>0.1</v>
      </c>
      <c r="C8" s="274">
        <v>33056003</v>
      </c>
      <c r="D8" s="272"/>
      <c r="E8" s="272">
        <v>44982022.07</v>
      </c>
      <c r="F8" s="272">
        <f t="shared" si="1"/>
        <v>78038025.069999993</v>
      </c>
      <c r="G8" s="273">
        <v>49000959</v>
      </c>
      <c r="H8" s="273">
        <v>29037066</v>
      </c>
      <c r="I8" s="273"/>
      <c r="J8" s="273">
        <f>G8*10/100</f>
        <v>4900095.9000000004</v>
      </c>
      <c r="K8" s="273">
        <f>H8*5/100</f>
        <v>1451853.3</v>
      </c>
      <c r="L8" s="273">
        <f>SUM(J8:K8)</f>
        <v>6351949.2000000002</v>
      </c>
      <c r="M8" s="286">
        <f>F8-L8+0.01</f>
        <v>71686075.879999995</v>
      </c>
      <c r="N8" s="37"/>
      <c r="O8" s="37"/>
    </row>
    <row r="9" spans="1:15">
      <c r="A9" s="42" t="s">
        <v>257</v>
      </c>
      <c r="B9" s="41">
        <v>0.1</v>
      </c>
      <c r="C9" s="275"/>
      <c r="D9" s="275"/>
      <c r="E9" s="275">
        <v>3475078.24</v>
      </c>
      <c r="F9" s="272">
        <f t="shared" si="1"/>
        <v>3475078.24</v>
      </c>
      <c r="G9" s="273">
        <v>3475078.24</v>
      </c>
      <c r="H9" s="273"/>
      <c r="I9" s="273"/>
      <c r="J9" s="273">
        <f t="shared" ref="J9:J12" si="3">G9*10/100</f>
        <v>347507.82400000008</v>
      </c>
      <c r="K9" s="273">
        <f t="shared" ref="K9:K12" si="4">H9*5/100</f>
        <v>0</v>
      </c>
      <c r="L9" s="273">
        <f>SUM(J9:K9)</f>
        <v>347507.82400000008</v>
      </c>
      <c r="M9" s="286">
        <f t="shared" si="0"/>
        <v>3127570.4160000002</v>
      </c>
      <c r="N9" s="37"/>
      <c r="O9" s="37"/>
    </row>
    <row r="10" spans="1:15">
      <c r="A10" s="42" t="s">
        <v>532</v>
      </c>
      <c r="B10" s="41">
        <v>0.1</v>
      </c>
      <c r="C10" s="272"/>
      <c r="D10" s="275"/>
      <c r="E10" s="275">
        <v>1068490541.46</v>
      </c>
      <c r="F10" s="272">
        <f t="shared" si="1"/>
        <v>1068490541.46</v>
      </c>
      <c r="G10" s="273">
        <v>1068490541.46</v>
      </c>
      <c r="H10" s="273"/>
      <c r="I10" s="273"/>
      <c r="J10" s="273">
        <f>G10*10/100</f>
        <v>106849054.146</v>
      </c>
      <c r="K10" s="273">
        <f t="shared" si="4"/>
        <v>0</v>
      </c>
      <c r="L10" s="273">
        <f>SUM(I10:J10:K10)-0.7</f>
        <v>106849053.44599999</v>
      </c>
      <c r="M10" s="286">
        <f>F10-L10</f>
        <v>961641488.01400006</v>
      </c>
      <c r="N10" s="37"/>
      <c r="O10" s="37"/>
    </row>
    <row r="11" spans="1:15">
      <c r="A11" s="42" t="s">
        <v>533</v>
      </c>
      <c r="B11" s="41">
        <v>0.1</v>
      </c>
      <c r="C11" s="275"/>
      <c r="D11" s="275"/>
      <c r="E11" s="275">
        <v>2380939</v>
      </c>
      <c r="F11" s="272">
        <f t="shared" si="1"/>
        <v>2380939</v>
      </c>
      <c r="G11" s="275">
        <v>2380939</v>
      </c>
      <c r="H11" s="273"/>
      <c r="I11" s="273"/>
      <c r="J11" s="273">
        <f t="shared" si="3"/>
        <v>238093.9</v>
      </c>
      <c r="K11" s="273">
        <f t="shared" si="4"/>
        <v>0</v>
      </c>
      <c r="L11" s="273">
        <f t="shared" ref="L11:L12" si="5">SUM(J11:K11)</f>
        <v>238093.9</v>
      </c>
      <c r="M11" s="286">
        <f t="shared" si="0"/>
        <v>2142845.1</v>
      </c>
      <c r="N11" s="37"/>
      <c r="O11" s="37"/>
    </row>
    <row r="12" spans="1:15">
      <c r="A12" s="85" t="s">
        <v>534</v>
      </c>
      <c r="B12" s="41">
        <v>0.1</v>
      </c>
      <c r="C12" s="275"/>
      <c r="D12" s="275"/>
      <c r="E12" s="275">
        <v>53125.07</v>
      </c>
      <c r="F12" s="272">
        <f t="shared" si="1"/>
        <v>53125.07</v>
      </c>
      <c r="G12" s="273">
        <v>53125.07</v>
      </c>
      <c r="H12" s="273"/>
      <c r="I12" s="273"/>
      <c r="J12" s="273">
        <f t="shared" si="3"/>
        <v>5312.5069999999996</v>
      </c>
      <c r="K12" s="273">
        <f t="shared" si="4"/>
        <v>0</v>
      </c>
      <c r="L12" s="273">
        <f t="shared" si="5"/>
        <v>5312.5069999999996</v>
      </c>
      <c r="M12" s="286">
        <f t="shared" si="0"/>
        <v>47812.563000000002</v>
      </c>
      <c r="N12" s="37"/>
      <c r="O12" s="37"/>
    </row>
    <row r="13" spans="1:15" ht="16.5" thickBot="1">
      <c r="A13" s="42"/>
      <c r="B13" s="41"/>
      <c r="C13" s="276">
        <f>SUM(C6:C12)</f>
        <v>33056003</v>
      </c>
      <c r="D13" s="276">
        <f t="shared" ref="D13:M13" si="6">SUM(D6:D12)</f>
        <v>0</v>
      </c>
      <c r="E13" s="276">
        <f t="shared" si="6"/>
        <v>1120234747.4300001</v>
      </c>
      <c r="F13" s="276">
        <f t="shared" si="6"/>
        <v>1153290750.4300001</v>
      </c>
      <c r="G13" s="276">
        <f t="shared" si="6"/>
        <v>1124253684.3599999</v>
      </c>
      <c r="H13" s="276">
        <f t="shared" si="6"/>
        <v>29037066</v>
      </c>
      <c r="I13" s="276">
        <f t="shared" si="6"/>
        <v>0</v>
      </c>
      <c r="J13" s="276">
        <f t="shared" si="6"/>
        <v>115264779.77214563</v>
      </c>
      <c r="K13" s="276">
        <f t="shared" si="6"/>
        <v>1451853.3</v>
      </c>
      <c r="L13" s="276">
        <f>SUM(L6:L12)</f>
        <v>116716632.37214564</v>
      </c>
      <c r="M13" s="276">
        <f t="shared" si="6"/>
        <v>1036574118.0678544</v>
      </c>
      <c r="N13" s="37"/>
      <c r="O13" s="37"/>
    </row>
    <row r="14" spans="1:15" ht="16.5" thickTop="1">
      <c r="A14" s="42"/>
      <c r="B14" s="41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87"/>
      <c r="N14" s="37"/>
      <c r="O14" s="37"/>
    </row>
    <row r="15" spans="1:15">
      <c r="A15" s="1" t="s">
        <v>279</v>
      </c>
      <c r="B15" s="290">
        <v>0</v>
      </c>
      <c r="C15" s="275">
        <v>2683186</v>
      </c>
      <c r="D15" s="275">
        <v>2683186</v>
      </c>
      <c r="E15" s="272"/>
      <c r="F15" s="272">
        <f t="shared" ref="F15:F19" si="7">C15-D15+E15</f>
        <v>0</v>
      </c>
      <c r="G15" s="273"/>
      <c r="H15" s="273"/>
      <c r="I15" s="271"/>
      <c r="J15" s="271"/>
      <c r="K15" s="273">
        <v>0</v>
      </c>
      <c r="L15" s="273"/>
      <c r="M15" s="286"/>
      <c r="N15" s="37"/>
      <c r="O15" s="37"/>
    </row>
    <row r="16" spans="1:15">
      <c r="A16" s="1" t="s">
        <v>280</v>
      </c>
      <c r="B16" s="290">
        <v>0</v>
      </c>
      <c r="C16" s="275"/>
      <c r="D16" s="275"/>
      <c r="E16" s="272">
        <v>9166612</v>
      </c>
      <c r="F16" s="272">
        <f t="shared" si="7"/>
        <v>9166612</v>
      </c>
      <c r="G16" s="273">
        <v>9166612</v>
      </c>
      <c r="H16" s="273"/>
      <c r="I16" s="273"/>
      <c r="J16" s="273">
        <v>0</v>
      </c>
      <c r="K16" s="273">
        <f t="shared" ref="K16:K17" si="8">+H16*0.05</f>
        <v>0</v>
      </c>
      <c r="L16" s="273">
        <f t="shared" ref="L16:L24" si="9">SUM(J16:K16)</f>
        <v>0</v>
      </c>
      <c r="M16" s="286">
        <f t="shared" ref="M16:M17" si="10">F16-L16</f>
        <v>9166612</v>
      </c>
      <c r="N16" s="37"/>
      <c r="O16" s="37"/>
    </row>
    <row r="17" spans="1:15">
      <c r="A17" s="1" t="s">
        <v>498</v>
      </c>
      <c r="B17" s="41">
        <v>0.1</v>
      </c>
      <c r="C17" s="275"/>
      <c r="D17" s="275"/>
      <c r="E17" s="272">
        <v>2319804.35</v>
      </c>
      <c r="F17" s="272">
        <f t="shared" si="7"/>
        <v>2319804.35</v>
      </c>
      <c r="G17" s="273">
        <v>2319804.35</v>
      </c>
      <c r="H17" s="273"/>
      <c r="I17" s="273"/>
      <c r="J17" s="273">
        <f t="shared" ref="J17" si="11">G17*10/100</f>
        <v>231980.435</v>
      </c>
      <c r="K17" s="273">
        <f t="shared" si="8"/>
        <v>0</v>
      </c>
      <c r="L17" s="273">
        <f t="shared" si="9"/>
        <v>231980.435</v>
      </c>
      <c r="M17" s="286">
        <f t="shared" si="10"/>
        <v>2087823.915</v>
      </c>
      <c r="N17" s="37"/>
      <c r="O17" s="37"/>
    </row>
    <row r="18" spans="1:15">
      <c r="A18" s="1" t="s">
        <v>281</v>
      </c>
      <c r="B18" s="41">
        <v>0.15</v>
      </c>
      <c r="C18" s="278">
        <v>219644128.41999999</v>
      </c>
      <c r="D18" s="274">
        <v>8782754</v>
      </c>
      <c r="E18" s="272">
        <v>693446158.89999998</v>
      </c>
      <c r="F18" s="272">
        <f t="shared" si="7"/>
        <v>904307533.31999993</v>
      </c>
      <c r="G18" s="273">
        <v>772759224.89999998</v>
      </c>
      <c r="H18" s="273">
        <f>140331062.42-8782754</f>
        <v>131548308.41999999</v>
      </c>
      <c r="I18" s="273"/>
      <c r="J18" s="273">
        <f>+G18*15/100</f>
        <v>115913883.735</v>
      </c>
      <c r="K18" s="273">
        <f>+H18*7.5/100</f>
        <v>9866123.1314999983</v>
      </c>
      <c r="L18" s="273">
        <f>SUM(J18:K18)-0.01</f>
        <v>125780006.85649998</v>
      </c>
      <c r="M18" s="286">
        <f>F18-L18</f>
        <v>778527526.4634999</v>
      </c>
      <c r="N18" s="37"/>
      <c r="O18" s="37"/>
    </row>
    <row r="19" spans="1:15">
      <c r="A19" s="1" t="s">
        <v>497</v>
      </c>
      <c r="B19" s="41">
        <v>0.15</v>
      </c>
      <c r="C19" s="275"/>
      <c r="D19" s="275"/>
      <c r="E19" s="272">
        <v>134454867.59999999</v>
      </c>
      <c r="F19" s="272">
        <f t="shared" si="7"/>
        <v>134454867.59999999</v>
      </c>
      <c r="G19" s="273">
        <v>134454867.59999999</v>
      </c>
      <c r="H19" s="273"/>
      <c r="I19" s="273"/>
      <c r="J19" s="273">
        <f t="shared" ref="J19:J24" si="12">+G19*15/100</f>
        <v>20168230.140000001</v>
      </c>
      <c r="K19" s="273">
        <f>+H19*7.5/100</f>
        <v>0</v>
      </c>
      <c r="L19" s="273">
        <f t="shared" si="9"/>
        <v>20168230.140000001</v>
      </c>
      <c r="M19" s="286">
        <f>F19-L19</f>
        <v>114286637.45999999</v>
      </c>
      <c r="N19" s="37"/>
      <c r="O19" s="37"/>
    </row>
    <row r="20" spans="1:15">
      <c r="A20" s="1" t="s">
        <v>777</v>
      </c>
      <c r="B20" s="41"/>
      <c r="C20" s="275"/>
      <c r="D20" s="275"/>
      <c r="E20" s="272"/>
      <c r="F20" s="272"/>
      <c r="G20" s="273"/>
      <c r="H20" s="273"/>
      <c r="I20" s="273"/>
      <c r="J20" s="273"/>
      <c r="K20" s="273"/>
      <c r="L20" s="273"/>
      <c r="M20" s="286"/>
      <c r="N20" s="37"/>
      <c r="O20" s="37"/>
    </row>
    <row r="21" spans="1:15">
      <c r="A21" s="42" t="s">
        <v>1112</v>
      </c>
      <c r="B21" s="206">
        <v>0.15</v>
      </c>
      <c r="C21" s="274">
        <f>11171141</f>
        <v>11171141</v>
      </c>
      <c r="D21" s="275"/>
      <c r="E21" s="272">
        <v>9795770.9499999993</v>
      </c>
      <c r="F21" s="272">
        <f t="shared" ref="F21:F25" si="13">C21-D21+E21</f>
        <v>20966911.949999999</v>
      </c>
      <c r="G21" s="273">
        <v>9795770.9499999993</v>
      </c>
      <c r="H21" s="273">
        <v>11171141</v>
      </c>
      <c r="I21" s="273"/>
      <c r="J21" s="273">
        <f t="shared" ref="J21:J22" si="14">+G21*15/100</f>
        <v>1469365.6425000001</v>
      </c>
      <c r="K21" s="273">
        <f>+H21*7.5/100</f>
        <v>837835.57499999995</v>
      </c>
      <c r="L21" s="273">
        <f t="shared" ref="L21:L22" si="15">SUM(J21:K21)</f>
        <v>2307201.2175000003</v>
      </c>
      <c r="M21" s="286">
        <f>F21-L21</f>
        <v>18659710.732499998</v>
      </c>
      <c r="N21" s="37"/>
      <c r="O21" s="37"/>
    </row>
    <row r="22" spans="1:15">
      <c r="A22" s="42" t="s">
        <v>1150</v>
      </c>
      <c r="B22" s="206">
        <v>0.15</v>
      </c>
      <c r="C22" s="279">
        <v>227977</v>
      </c>
      <c r="D22" s="275"/>
      <c r="E22" s="272">
        <v>0</v>
      </c>
      <c r="F22" s="272">
        <f t="shared" si="13"/>
        <v>227977</v>
      </c>
      <c r="G22" s="273">
        <v>0</v>
      </c>
      <c r="H22" s="273">
        <v>227977</v>
      </c>
      <c r="I22" s="273"/>
      <c r="J22" s="273">
        <f t="shared" si="14"/>
        <v>0</v>
      </c>
      <c r="K22" s="273">
        <f>+H22*7.5/100</f>
        <v>17098.275000000001</v>
      </c>
      <c r="L22" s="273">
        <f t="shared" si="15"/>
        <v>17098.275000000001</v>
      </c>
      <c r="M22" s="286">
        <f>F22-L22</f>
        <v>210878.72500000001</v>
      </c>
      <c r="N22" s="37"/>
      <c r="O22" s="37"/>
    </row>
    <row r="23" spans="1:15">
      <c r="A23" s="42" t="s">
        <v>951</v>
      </c>
      <c r="B23" s="202">
        <v>0.15</v>
      </c>
      <c r="C23" s="275"/>
      <c r="D23" s="275"/>
      <c r="E23" s="272">
        <v>2420962.0299999998</v>
      </c>
      <c r="F23" s="272">
        <f t="shared" si="13"/>
        <v>2420962.0299999998</v>
      </c>
      <c r="G23" s="273">
        <v>2420962.0299999998</v>
      </c>
      <c r="H23" s="273"/>
      <c r="I23" s="273"/>
      <c r="J23" s="273">
        <f t="shared" si="12"/>
        <v>363144.30449999997</v>
      </c>
      <c r="K23" s="273">
        <f t="shared" ref="K23:K24" si="16">+H23*7.5/100</f>
        <v>0</v>
      </c>
      <c r="L23" s="273">
        <f t="shared" si="9"/>
        <v>363144.30449999997</v>
      </c>
      <c r="M23" s="286">
        <f t="shared" ref="M23:M24" si="17">F23-L23</f>
        <v>2057817.7254999997</v>
      </c>
      <c r="N23" s="37"/>
      <c r="O23" s="37"/>
    </row>
    <row r="24" spans="1:15">
      <c r="A24" s="42" t="s">
        <v>950</v>
      </c>
      <c r="B24" s="202">
        <v>0.15</v>
      </c>
      <c r="C24" s="275"/>
      <c r="D24" s="275"/>
      <c r="E24" s="272">
        <v>632320.91</v>
      </c>
      <c r="F24" s="272">
        <f t="shared" si="13"/>
        <v>632320.91</v>
      </c>
      <c r="G24" s="273">
        <v>632320.91</v>
      </c>
      <c r="H24" s="273"/>
      <c r="I24" s="273"/>
      <c r="J24" s="273">
        <f t="shared" si="12"/>
        <v>94848.136500000008</v>
      </c>
      <c r="K24" s="273">
        <f t="shared" si="16"/>
        <v>0</v>
      </c>
      <c r="L24" s="273">
        <f t="shared" si="9"/>
        <v>94848.136500000008</v>
      </c>
      <c r="M24" s="286">
        <f t="shared" si="17"/>
        <v>537472.77350000001</v>
      </c>
      <c r="N24" s="37"/>
      <c r="O24" s="37"/>
    </row>
    <row r="25" spans="1:15">
      <c r="A25" s="1" t="s">
        <v>282</v>
      </c>
      <c r="B25" s="41">
        <v>0.6</v>
      </c>
      <c r="C25" s="274">
        <v>11324538</v>
      </c>
      <c r="D25" s="274">
        <v>36812</v>
      </c>
      <c r="E25" s="275">
        <v>20742614.34</v>
      </c>
      <c r="F25" s="272">
        <f t="shared" si="13"/>
        <v>32030340.34</v>
      </c>
      <c r="G25" s="273">
        <v>21250251.34</v>
      </c>
      <c r="H25" s="273">
        <f>10786054-5965</f>
        <v>10780089</v>
      </c>
      <c r="I25" s="273"/>
      <c r="J25" s="273">
        <f>+G25*60/100</f>
        <v>12750150.804000001</v>
      </c>
      <c r="K25" s="273">
        <f>+H25*30/100</f>
        <v>3234026.7</v>
      </c>
      <c r="L25" s="273">
        <f>SUM(J25:K25)</f>
        <v>15984177.504000001</v>
      </c>
      <c r="M25" s="286">
        <f>F25-L25</f>
        <v>16046162.835999999</v>
      </c>
      <c r="N25" s="37"/>
      <c r="O25" s="37"/>
    </row>
    <row r="26" spans="1:15" ht="16.5" thickBot="1">
      <c r="A26" s="1"/>
      <c r="B26" s="41"/>
      <c r="C26" s="288">
        <f t="shared" ref="C26:L26" si="18">SUM(C15:C25)</f>
        <v>245050970.41999999</v>
      </c>
      <c r="D26" s="288">
        <f t="shared" si="18"/>
        <v>11502752</v>
      </c>
      <c r="E26" s="288">
        <f t="shared" si="18"/>
        <v>872979111.08000004</v>
      </c>
      <c r="F26" s="288">
        <f>SUM(F15:F25)</f>
        <v>1106527329.5</v>
      </c>
      <c r="G26" s="288">
        <f t="shared" si="18"/>
        <v>952799814.08000004</v>
      </c>
      <c r="H26" s="288">
        <f t="shared" si="18"/>
        <v>153727515.41999999</v>
      </c>
      <c r="I26" s="288">
        <f t="shared" si="18"/>
        <v>0</v>
      </c>
      <c r="J26" s="288">
        <f t="shared" si="18"/>
        <v>150991603.19750002</v>
      </c>
      <c r="K26" s="288">
        <f t="shared" si="18"/>
        <v>13955083.681499999</v>
      </c>
      <c r="L26" s="288">
        <f t="shared" si="18"/>
        <v>164946686.86900002</v>
      </c>
      <c r="M26" s="288">
        <f>SUM(M15:M25)</f>
        <v>941580642.6309998</v>
      </c>
      <c r="N26" s="37"/>
      <c r="O26" s="37"/>
    </row>
    <row r="27" spans="1:15" ht="16.5" thickTop="1">
      <c r="A27" s="1" t="s">
        <v>264</v>
      </c>
      <c r="B27" s="41"/>
      <c r="C27" s="281"/>
      <c r="D27" s="281"/>
      <c r="E27" s="281"/>
      <c r="F27" s="271"/>
      <c r="G27" s="270"/>
      <c r="H27" s="270"/>
      <c r="I27" s="270"/>
      <c r="J27" s="270"/>
      <c r="K27" s="270"/>
      <c r="L27" s="270"/>
      <c r="M27" s="285"/>
      <c r="N27" s="37"/>
      <c r="O27" s="37"/>
    </row>
    <row r="28" spans="1:15">
      <c r="A28" s="42" t="s">
        <v>266</v>
      </c>
      <c r="B28" s="41">
        <v>0.6</v>
      </c>
      <c r="C28" s="274">
        <v>4212372</v>
      </c>
      <c r="D28" s="275"/>
      <c r="E28" s="275">
        <v>4132590.92</v>
      </c>
      <c r="F28" s="272">
        <f t="shared" ref="F28:F29" si="19">C28-D28+E28</f>
        <v>8344962.9199999999</v>
      </c>
      <c r="G28" s="273">
        <v>5376497.9199999999</v>
      </c>
      <c r="H28" s="273">
        <v>2968465</v>
      </c>
      <c r="I28" s="273"/>
      <c r="J28" s="273">
        <f>+G28*60/100</f>
        <v>3225898.7519999999</v>
      </c>
      <c r="K28" s="273">
        <f>+H28*30/100</f>
        <v>890539.5</v>
      </c>
      <c r="L28" s="273">
        <f t="shared" ref="L28:L29" si="20">SUM(J28:K28)</f>
        <v>4116438.2519999999</v>
      </c>
      <c r="M28" s="286">
        <f t="shared" ref="M28:M29" si="21">F28-L28</f>
        <v>4228524.6679999996</v>
      </c>
      <c r="N28" s="37"/>
      <c r="O28" s="37"/>
    </row>
    <row r="29" spans="1:15">
      <c r="A29" s="42" t="s">
        <v>265</v>
      </c>
      <c r="B29" s="41">
        <v>0.6</v>
      </c>
      <c r="C29" s="275"/>
      <c r="D29" s="275">
        <v>0</v>
      </c>
      <c r="E29" s="275">
        <v>118.42</v>
      </c>
      <c r="F29" s="272">
        <f t="shared" si="19"/>
        <v>118.42</v>
      </c>
      <c r="G29" s="272">
        <v>118.42</v>
      </c>
      <c r="H29" s="273"/>
      <c r="I29" s="273"/>
      <c r="J29" s="273">
        <f>+G29*60/100</f>
        <v>71.051999999999992</v>
      </c>
      <c r="K29" s="273">
        <f>+H29*30/100</f>
        <v>0</v>
      </c>
      <c r="L29" s="273">
        <f t="shared" si="20"/>
        <v>71.051999999999992</v>
      </c>
      <c r="M29" s="286">
        <f t="shared" si="21"/>
        <v>47.368000000000009</v>
      </c>
      <c r="N29" s="37"/>
      <c r="O29" s="37"/>
    </row>
    <row r="30" spans="1:15" ht="16.5" thickBot="1">
      <c r="A30" s="42"/>
      <c r="B30" s="41"/>
      <c r="C30" s="280">
        <f>SUM(C28:C29)</f>
        <v>4212372</v>
      </c>
      <c r="D30" s="280">
        <f t="shared" ref="D30:M30" si="22">SUM(D28:D29)</f>
        <v>0</v>
      </c>
      <c r="E30" s="280">
        <f t="shared" si="22"/>
        <v>4132709.34</v>
      </c>
      <c r="F30" s="280">
        <f t="shared" si="22"/>
        <v>8345081.3399999999</v>
      </c>
      <c r="G30" s="280">
        <f t="shared" si="22"/>
        <v>5376616.3399999999</v>
      </c>
      <c r="H30" s="280">
        <f t="shared" si="22"/>
        <v>2968465</v>
      </c>
      <c r="I30" s="280">
        <f t="shared" si="22"/>
        <v>0</v>
      </c>
      <c r="J30" s="280">
        <f t="shared" si="22"/>
        <v>3225969.804</v>
      </c>
      <c r="K30" s="280">
        <f t="shared" si="22"/>
        <v>890539.5</v>
      </c>
      <c r="L30" s="280">
        <f t="shared" si="22"/>
        <v>4116509.304</v>
      </c>
      <c r="M30" s="280">
        <f t="shared" si="22"/>
        <v>4228572.0359999994</v>
      </c>
      <c r="N30" s="37"/>
      <c r="O30" s="37"/>
    </row>
    <row r="31" spans="1:15" ht="16.5" thickTop="1">
      <c r="A31" s="47"/>
      <c r="B31" s="41"/>
      <c r="C31" s="282"/>
      <c r="D31" s="282"/>
      <c r="E31" s="282"/>
      <c r="F31" s="282"/>
      <c r="G31" s="282"/>
      <c r="H31" s="282"/>
      <c r="I31" s="282"/>
      <c r="J31" s="270"/>
      <c r="K31" s="270"/>
      <c r="L31" s="282"/>
      <c r="M31" s="289"/>
      <c r="N31" s="37"/>
      <c r="O31" s="37"/>
    </row>
    <row r="32" spans="1:15">
      <c r="A32" s="1" t="s">
        <v>283</v>
      </c>
      <c r="B32" s="2">
        <v>0.1</v>
      </c>
      <c r="C32" s="283">
        <v>910395</v>
      </c>
      <c r="D32" s="275">
        <v>0</v>
      </c>
      <c r="E32" s="275">
        <v>524535.57999999996</v>
      </c>
      <c r="F32" s="272">
        <f t="shared" ref="F32:F36" si="23">C32-D32+E32</f>
        <v>1434930.58</v>
      </c>
      <c r="G32" s="273">
        <v>1205522.58</v>
      </c>
      <c r="H32" s="273">
        <v>229408</v>
      </c>
      <c r="I32" s="273"/>
      <c r="J32" s="273">
        <f>+G32*10/100</f>
        <v>120552.258</v>
      </c>
      <c r="K32" s="273">
        <f>+H32*5/100</f>
        <v>11470.4</v>
      </c>
      <c r="L32" s="273">
        <f t="shared" ref="L32:L33" si="24">SUM(J32:K32)</f>
        <v>132022.658</v>
      </c>
      <c r="M32" s="286">
        <f t="shared" ref="M32:M36" si="25">F32-L32</f>
        <v>1302907.922</v>
      </c>
      <c r="N32" s="37"/>
      <c r="O32" s="37"/>
    </row>
    <row r="33" spans="1:15">
      <c r="A33" s="1" t="s">
        <v>854</v>
      </c>
      <c r="B33" s="2">
        <v>0.8</v>
      </c>
      <c r="C33" s="275"/>
      <c r="D33" s="275"/>
      <c r="E33" s="275">
        <v>324000</v>
      </c>
      <c r="F33" s="272">
        <f t="shared" si="23"/>
        <v>324000</v>
      </c>
      <c r="G33" s="273">
        <v>324000</v>
      </c>
      <c r="H33" s="273"/>
      <c r="I33" s="273"/>
      <c r="J33" s="273">
        <f>+G33*80/100</f>
        <v>259200</v>
      </c>
      <c r="K33" s="273">
        <f>+H33*40/100</f>
        <v>0</v>
      </c>
      <c r="L33" s="273">
        <f t="shared" si="24"/>
        <v>259200</v>
      </c>
      <c r="M33" s="286">
        <f t="shared" si="25"/>
        <v>64800</v>
      </c>
      <c r="N33" s="37"/>
      <c r="O33" s="37"/>
    </row>
    <row r="34" spans="1:15">
      <c r="A34" s="1" t="s">
        <v>260</v>
      </c>
      <c r="B34" s="2"/>
      <c r="C34" s="275"/>
      <c r="D34" s="275"/>
      <c r="E34" s="275"/>
      <c r="F34" s="272"/>
      <c r="G34" s="273"/>
      <c r="H34" s="273"/>
      <c r="I34" s="273"/>
      <c r="J34" s="273"/>
      <c r="K34" s="273"/>
      <c r="L34" s="273"/>
      <c r="M34" s="286"/>
      <c r="N34" s="37"/>
      <c r="O34" s="37"/>
    </row>
    <row r="35" spans="1:15">
      <c r="A35" s="42" t="s">
        <v>266</v>
      </c>
      <c r="B35" s="41">
        <v>0.1</v>
      </c>
      <c r="C35" s="274">
        <v>6330816</v>
      </c>
      <c r="D35" s="275">
        <v>0</v>
      </c>
      <c r="E35" s="275">
        <v>56298209.229999997</v>
      </c>
      <c r="F35" s="272">
        <f>C35-D35+E35</f>
        <v>62629025.229999997</v>
      </c>
      <c r="G35" s="273">
        <v>57538787.229999997</v>
      </c>
      <c r="H35" s="273">
        <v>5090238</v>
      </c>
      <c r="I35" s="273"/>
      <c r="J35" s="273">
        <f>+G35*10/100</f>
        <v>5753878.7229999993</v>
      </c>
      <c r="K35" s="273">
        <f>+H35*5/100</f>
        <v>254511.9</v>
      </c>
      <c r="L35" s="273">
        <f>SUM(J35:K35)</f>
        <v>6008390.6229999997</v>
      </c>
      <c r="M35" s="286">
        <f t="shared" si="25"/>
        <v>56620634.606999993</v>
      </c>
      <c r="N35" s="37"/>
      <c r="O35" s="37"/>
    </row>
    <row r="36" spans="1:15">
      <c r="A36" s="42" t="s">
        <v>261</v>
      </c>
      <c r="B36" s="41">
        <v>0.1</v>
      </c>
      <c r="C36" s="275"/>
      <c r="D36" s="275">
        <v>0</v>
      </c>
      <c r="E36" s="275">
        <v>1394005.99</v>
      </c>
      <c r="F36" s="272">
        <f t="shared" si="23"/>
        <v>1394005.99</v>
      </c>
      <c r="G36" s="273">
        <v>1394005.99</v>
      </c>
      <c r="H36" s="273"/>
      <c r="I36" s="273"/>
      <c r="J36" s="273">
        <f>+G36*10/100</f>
        <v>139400.59900000002</v>
      </c>
      <c r="K36" s="273">
        <f>+H36*5/100</f>
        <v>0</v>
      </c>
      <c r="L36" s="273">
        <f>SUM(J36:K36)</f>
        <v>139400.59900000002</v>
      </c>
      <c r="M36" s="286">
        <f t="shared" si="25"/>
        <v>1254605.3910000001</v>
      </c>
      <c r="N36" s="37"/>
      <c r="O36" s="37"/>
    </row>
    <row r="37" spans="1:15" ht="16.5" thickBot="1">
      <c r="A37" s="42"/>
      <c r="B37" s="41"/>
      <c r="C37" s="288">
        <f t="shared" ref="C37:L37" si="26">SUM(C32:C36)</f>
        <v>7241211</v>
      </c>
      <c r="D37" s="288">
        <f t="shared" si="26"/>
        <v>0</v>
      </c>
      <c r="E37" s="288">
        <f t="shared" si="26"/>
        <v>58540750.799999997</v>
      </c>
      <c r="F37" s="288">
        <f t="shared" si="26"/>
        <v>65781961.799999997</v>
      </c>
      <c r="G37" s="288">
        <f t="shared" si="26"/>
        <v>60462315.799999997</v>
      </c>
      <c r="H37" s="288">
        <f t="shared" si="26"/>
        <v>5319646</v>
      </c>
      <c r="I37" s="288">
        <f t="shared" si="26"/>
        <v>0</v>
      </c>
      <c r="J37" s="288">
        <f t="shared" si="26"/>
        <v>6273031.5800000001</v>
      </c>
      <c r="K37" s="288">
        <f t="shared" si="26"/>
        <v>265982.3</v>
      </c>
      <c r="L37" s="288">
        <f t="shared" si="26"/>
        <v>6539013.8799999999</v>
      </c>
      <c r="M37" s="288">
        <f>SUM(M32:M36)</f>
        <v>59242947.919999994</v>
      </c>
      <c r="N37" s="37"/>
      <c r="O37" s="37"/>
    </row>
    <row r="38" spans="1:15" ht="16.5" thickTop="1">
      <c r="A38" s="42"/>
      <c r="B38" s="41"/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9"/>
      <c r="N38" s="37"/>
      <c r="O38" s="37"/>
    </row>
    <row r="39" spans="1:15">
      <c r="A39" s="1" t="s">
        <v>535</v>
      </c>
      <c r="B39" s="41">
        <v>0.15</v>
      </c>
      <c r="C39" s="274">
        <v>8382490</v>
      </c>
      <c r="D39" s="275"/>
      <c r="E39" s="275">
        <v>24884427.350000001</v>
      </c>
      <c r="F39" s="272">
        <f t="shared" ref="F39:F44" si="27">C39-D39+E39</f>
        <v>33266917.350000001</v>
      </c>
      <c r="G39" s="273">
        <v>25881627.350000001</v>
      </c>
      <c r="H39" s="273">
        <v>7385290</v>
      </c>
      <c r="I39" s="273"/>
      <c r="J39" s="273">
        <f>+G39*15/100</f>
        <v>3882244.1025</v>
      </c>
      <c r="K39" s="273">
        <f>+H39*7.5/100</f>
        <v>553896.75</v>
      </c>
      <c r="L39" s="273">
        <f t="shared" ref="L39:L43" si="28">SUM(J39:K39)</f>
        <v>4436140.8525</v>
      </c>
      <c r="M39" s="286">
        <f>F39-L39</f>
        <v>28830776.497500002</v>
      </c>
      <c r="N39" s="37"/>
      <c r="O39" s="37"/>
    </row>
    <row r="40" spans="1:15">
      <c r="A40" s="1" t="s">
        <v>284</v>
      </c>
      <c r="B40" s="41">
        <v>0.15</v>
      </c>
      <c r="C40" s="275"/>
      <c r="D40" s="275">
        <v>0</v>
      </c>
      <c r="E40" s="275">
        <v>333114.44</v>
      </c>
      <c r="F40" s="272">
        <f t="shared" si="27"/>
        <v>333114.44</v>
      </c>
      <c r="G40" s="273">
        <v>333114.44</v>
      </c>
      <c r="H40" s="273"/>
      <c r="I40" s="273"/>
      <c r="J40" s="273">
        <f>+G40*15/100</f>
        <v>49967.165999999997</v>
      </c>
      <c r="K40" s="273">
        <f>+H40*7.5/100</f>
        <v>0</v>
      </c>
      <c r="L40" s="273">
        <f t="shared" si="28"/>
        <v>49967.165999999997</v>
      </c>
      <c r="M40" s="286">
        <f t="shared" ref="M40:M44" si="29">F40-L40</f>
        <v>283147.27399999998</v>
      </c>
      <c r="N40" s="37"/>
      <c r="O40" s="37"/>
    </row>
    <row r="41" spans="1:15">
      <c r="A41" s="1" t="s">
        <v>500</v>
      </c>
      <c r="B41" s="41">
        <v>0.15</v>
      </c>
      <c r="C41" s="275"/>
      <c r="D41" s="275">
        <v>0</v>
      </c>
      <c r="E41" s="275">
        <v>1746682.74</v>
      </c>
      <c r="F41" s="272">
        <f t="shared" si="27"/>
        <v>1746682.74</v>
      </c>
      <c r="G41" s="273">
        <v>1746682.74</v>
      </c>
      <c r="H41" s="273"/>
      <c r="I41" s="273"/>
      <c r="J41" s="273">
        <f>+G41*15/100</f>
        <v>262002.41100000002</v>
      </c>
      <c r="K41" s="273">
        <f t="shared" ref="K41" si="30">+H41*7.5/100</f>
        <v>0</v>
      </c>
      <c r="L41" s="273">
        <f t="shared" si="28"/>
        <v>262002.41100000002</v>
      </c>
      <c r="M41" s="286">
        <f t="shared" si="29"/>
        <v>1484680.3289999999</v>
      </c>
      <c r="N41" s="37"/>
      <c r="O41" s="37"/>
    </row>
    <row r="42" spans="1:15">
      <c r="A42" s="1" t="s">
        <v>537</v>
      </c>
      <c r="B42" s="41">
        <v>0.1</v>
      </c>
      <c r="C42" s="275"/>
      <c r="D42" s="275">
        <v>0</v>
      </c>
      <c r="E42" s="275">
        <v>14141054.52</v>
      </c>
      <c r="F42" s="272">
        <f t="shared" si="27"/>
        <v>14141054.52</v>
      </c>
      <c r="G42" s="273">
        <v>14141054.52</v>
      </c>
      <c r="H42" s="273"/>
      <c r="I42" s="273"/>
      <c r="J42" s="273">
        <f>+G42*10/100</f>
        <v>1414105.4519999998</v>
      </c>
      <c r="K42" s="273">
        <f>+H42*5/100</f>
        <v>0</v>
      </c>
      <c r="L42" s="273">
        <f t="shared" si="28"/>
        <v>1414105.4519999998</v>
      </c>
      <c r="M42" s="286">
        <f t="shared" si="29"/>
        <v>12726949.068</v>
      </c>
      <c r="N42" s="37"/>
      <c r="O42" s="37"/>
    </row>
    <row r="43" spans="1:15">
      <c r="A43" s="1" t="s">
        <v>536</v>
      </c>
      <c r="B43" s="41"/>
      <c r="C43" s="275"/>
      <c r="D43" s="275"/>
      <c r="E43" s="275"/>
      <c r="F43" s="272">
        <f t="shared" si="27"/>
        <v>0</v>
      </c>
      <c r="G43" s="273"/>
      <c r="H43" s="273"/>
      <c r="I43" s="273"/>
      <c r="J43" s="273">
        <f>+G43*10/100</f>
        <v>0</v>
      </c>
      <c r="K43" s="273">
        <v>0</v>
      </c>
      <c r="L43" s="273">
        <f t="shared" si="28"/>
        <v>0</v>
      </c>
      <c r="M43" s="286">
        <f t="shared" si="29"/>
        <v>0</v>
      </c>
      <c r="N43" s="37"/>
      <c r="O43" s="37"/>
    </row>
    <row r="44" spans="1:15">
      <c r="A44" s="1" t="s">
        <v>853</v>
      </c>
      <c r="B44" s="41">
        <v>0.15</v>
      </c>
      <c r="C44" s="273"/>
      <c r="D44" s="275"/>
      <c r="E44" s="272">
        <v>4134828.98</v>
      </c>
      <c r="F44" s="272">
        <f t="shared" si="27"/>
        <v>4134828.98</v>
      </c>
      <c r="G44" s="273">
        <v>4134828.98</v>
      </c>
      <c r="H44" s="273"/>
      <c r="I44" s="273"/>
      <c r="J44" s="273">
        <f>+G44*15/100</f>
        <v>620224.34700000007</v>
      </c>
      <c r="K44" s="273">
        <f t="shared" ref="K44" si="31">+H44*7.5/100</f>
        <v>0</v>
      </c>
      <c r="L44" s="273">
        <f>SUM(J44:K44)+0.01</f>
        <v>620224.35700000008</v>
      </c>
      <c r="M44" s="286">
        <f t="shared" si="29"/>
        <v>3514604.6229999997</v>
      </c>
      <c r="N44" s="37"/>
      <c r="O44" s="37"/>
    </row>
    <row r="45" spans="1:15" ht="16.5" thickBot="1">
      <c r="A45" s="42"/>
      <c r="B45" s="86"/>
      <c r="C45" s="284">
        <f>SUM(C39:C44)</f>
        <v>8382490</v>
      </c>
      <c r="D45" s="284">
        <f t="shared" ref="D45:M45" si="32">SUM(D39:D44)</f>
        <v>0</v>
      </c>
      <c r="E45" s="284">
        <f t="shared" si="32"/>
        <v>45240108.029999994</v>
      </c>
      <c r="F45" s="284">
        <f t="shared" si="32"/>
        <v>53622598.029999994</v>
      </c>
      <c r="G45" s="284">
        <f t="shared" si="32"/>
        <v>46237308.029999994</v>
      </c>
      <c r="H45" s="284">
        <f t="shared" si="32"/>
        <v>7385290</v>
      </c>
      <c r="I45" s="284">
        <f>SUM(I39:I44)</f>
        <v>0</v>
      </c>
      <c r="J45" s="284">
        <f t="shared" si="32"/>
        <v>6228543.4785000002</v>
      </c>
      <c r="K45" s="284">
        <f t="shared" si="32"/>
        <v>553896.75</v>
      </c>
      <c r="L45" s="284">
        <f t="shared" si="32"/>
        <v>6782440.2385</v>
      </c>
      <c r="M45" s="284">
        <f t="shared" si="32"/>
        <v>46840157.791500002</v>
      </c>
      <c r="N45" s="37"/>
      <c r="O45" s="37"/>
    </row>
    <row r="46" spans="1:15" ht="17.25" thickTop="1" thickBot="1">
      <c r="A46" s="87"/>
      <c r="B46" s="88"/>
      <c r="C46" s="90"/>
      <c r="D46" s="91"/>
      <c r="E46" s="92"/>
      <c r="F46" s="93"/>
      <c r="G46" s="91"/>
      <c r="H46" s="91"/>
      <c r="I46" s="91"/>
      <c r="J46" s="90"/>
      <c r="K46" s="90"/>
      <c r="L46" s="90"/>
      <c r="M46" s="94"/>
      <c r="N46" s="37"/>
      <c r="O46" s="37"/>
    </row>
    <row r="47" spans="1:15" ht="19.5">
      <c r="A47" s="119" t="s">
        <v>288</v>
      </c>
      <c r="C47" s="38">
        <f>C13+C26+C30+C37+C45</f>
        <v>297943046.41999996</v>
      </c>
      <c r="D47" s="38">
        <f t="shared" ref="D47:K47" si="33">D13+D26+D30+D37+D45</f>
        <v>11502752</v>
      </c>
      <c r="E47" s="38">
        <f t="shared" si="33"/>
        <v>2101127426.6800001</v>
      </c>
      <c r="F47" s="38">
        <f t="shared" si="33"/>
        <v>2387567721.1000009</v>
      </c>
      <c r="G47" s="38">
        <f>G13+G26+G30+G37+G45</f>
        <v>2189129738.6100001</v>
      </c>
      <c r="H47" s="38">
        <f>H13+H26+H30+H37+H45</f>
        <v>198437982.41999999</v>
      </c>
      <c r="I47" s="38">
        <f t="shared" si="33"/>
        <v>0</v>
      </c>
      <c r="J47" s="38">
        <f t="shared" si="33"/>
        <v>281983927.83214563</v>
      </c>
      <c r="K47" s="38">
        <f t="shared" si="33"/>
        <v>17117355.531500001</v>
      </c>
      <c r="L47" s="38">
        <f>L13+L26+L30+L37+L45</f>
        <v>299101282.66364568</v>
      </c>
      <c r="M47" s="38">
        <f>M13+M26+M30+M37+M45</f>
        <v>2088466438.4463544</v>
      </c>
      <c r="N47" s="38"/>
      <c r="O47" s="37"/>
    </row>
    <row r="48" spans="1:15">
      <c r="E48" s="37"/>
      <c r="F48" s="37"/>
      <c r="G48" s="37"/>
      <c r="H48" s="37"/>
      <c r="L48" s="38"/>
      <c r="M48" s="38"/>
    </row>
    <row r="49" spans="1:14">
      <c r="C49" s="37">
        <v>312935416.42000002</v>
      </c>
      <c r="D49" s="37">
        <v>11502752</v>
      </c>
      <c r="F49" s="37"/>
      <c r="G49" s="645">
        <f>G47+H47</f>
        <v>2387567721.0300002</v>
      </c>
      <c r="H49" s="645"/>
      <c r="I49" s="37"/>
      <c r="J49" s="645">
        <f>J47+K47</f>
        <v>299101283.36364561</v>
      </c>
      <c r="K49" s="645"/>
      <c r="L49" s="37"/>
      <c r="M49" s="37"/>
      <c r="N49" s="37"/>
    </row>
    <row r="50" spans="1:14">
      <c r="E50" s="37"/>
      <c r="F50" s="37"/>
      <c r="G50" s="43"/>
      <c r="H50" s="37"/>
      <c r="I50" s="37"/>
      <c r="J50" s="37"/>
      <c r="L50" s="37">
        <v>298039975.84999996</v>
      </c>
    </row>
    <row r="51" spans="1:14">
      <c r="C51" s="37">
        <f>+C47-C49</f>
        <v>-14992370.00000006</v>
      </c>
      <c r="D51" s="37">
        <f>+D47-D49</f>
        <v>0</v>
      </c>
      <c r="F51" s="37"/>
      <c r="G51" s="43"/>
      <c r="H51" s="268"/>
      <c r="I51" s="37"/>
      <c r="L51" s="37"/>
    </row>
    <row r="52" spans="1:14">
      <c r="E52" s="37"/>
      <c r="F52" s="37"/>
      <c r="G52" s="37">
        <f>G49-F47</f>
        <v>-7.0000648498535156E-2</v>
      </c>
      <c r="H52" s="37"/>
      <c r="I52" s="37"/>
      <c r="L52" s="37">
        <f>+L47-L50</f>
        <v>1061306.8136457205</v>
      </c>
    </row>
    <row r="53" spans="1:14">
      <c r="E53" s="48"/>
      <c r="G53" s="37"/>
      <c r="L53" s="37"/>
    </row>
    <row r="54" spans="1:14">
      <c r="E54" s="46"/>
      <c r="F54" s="38"/>
      <c r="G54" s="37"/>
    </row>
    <row r="55" spans="1:14">
      <c r="E55" s="46"/>
    </row>
    <row r="56" spans="1:14">
      <c r="F56" s="38"/>
    </row>
    <row r="57" spans="1:14">
      <c r="A57" s="205" t="s">
        <v>1102</v>
      </c>
    </row>
  </sheetData>
  <mergeCells count="16">
    <mergeCell ref="J49:K49"/>
    <mergeCell ref="G49:H49"/>
    <mergeCell ref="A1:C1"/>
    <mergeCell ref="A2:E2"/>
    <mergeCell ref="M3:M4"/>
    <mergeCell ref="E3:E4"/>
    <mergeCell ref="B3:B4"/>
    <mergeCell ref="A3:A4"/>
    <mergeCell ref="L3:L4"/>
    <mergeCell ref="J3:K3"/>
    <mergeCell ref="G3:G4"/>
    <mergeCell ref="H3:H4"/>
    <mergeCell ref="C3:C4"/>
    <mergeCell ref="F3:F4"/>
    <mergeCell ref="D3:D4"/>
    <mergeCell ref="I3:I4"/>
  </mergeCells>
  <phoneticPr fontId="0" type="noConversion"/>
  <printOptions horizontalCentered="1"/>
  <pageMargins left="0.15748031496062992" right="0.15748031496062992" top="0.15748031496062992" bottom="0.15748031496062992" header="0.15748031496062992" footer="0"/>
  <pageSetup paperSize="9" scale="70" orientation="landscape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R47"/>
  <sheetViews>
    <sheetView topLeftCell="D1" workbookViewId="0">
      <selection activeCell="A3" sqref="A3:K3"/>
    </sheetView>
  </sheetViews>
  <sheetFormatPr defaultColWidth="9.140625" defaultRowHeight="12.75"/>
  <cols>
    <col min="1" max="1" width="52.5703125" style="4" bestFit="1" customWidth="1"/>
    <col min="2" max="2" width="15" style="4" customWidth="1"/>
    <col min="3" max="3" width="13.85546875" style="4" customWidth="1"/>
    <col min="4" max="4" width="11" style="4" customWidth="1"/>
    <col min="5" max="5" width="15" style="4" customWidth="1"/>
    <col min="6" max="6" width="14.5703125" style="4" customWidth="1"/>
    <col min="7" max="7" width="14.28515625" style="4" bestFit="1" customWidth="1"/>
    <col min="8" max="8" width="12.42578125" style="4" customWidth="1"/>
    <col min="9" max="9" width="13.85546875" style="4" customWidth="1"/>
    <col min="10" max="10" width="15.28515625" style="4" customWidth="1"/>
    <col min="11" max="11" width="15" style="4" customWidth="1"/>
    <col min="12" max="12" width="1.7109375" style="4" bestFit="1" customWidth="1"/>
    <col min="13" max="13" width="16.85546875" style="4" bestFit="1" customWidth="1"/>
    <col min="14" max="16" width="9.140625" style="4"/>
    <col min="17" max="17" width="13.140625" style="4" bestFit="1" customWidth="1"/>
    <col min="18" max="18" width="11.28515625" style="4" bestFit="1" customWidth="1"/>
    <col min="19" max="16384" width="9.140625" style="4"/>
  </cols>
  <sheetData>
    <row r="1" spans="1:18" ht="15.75" customHeight="1">
      <c r="A1" s="664" t="s">
        <v>85</v>
      </c>
      <c r="B1" s="664"/>
      <c r="C1" s="664"/>
      <c r="D1" s="664"/>
      <c r="E1" s="664"/>
      <c r="F1" s="664"/>
      <c r="G1" s="664"/>
      <c r="H1" s="664"/>
      <c r="I1" s="664"/>
      <c r="J1" s="664"/>
      <c r="K1" s="664"/>
    </row>
    <row r="2" spans="1:18">
      <c r="A2" s="3"/>
      <c r="B2" s="3"/>
      <c r="C2" s="3"/>
      <c r="D2" s="3"/>
      <c r="E2" s="3"/>
      <c r="F2" s="5"/>
      <c r="G2" s="5"/>
      <c r="H2" s="5"/>
      <c r="I2" s="5"/>
      <c r="J2" s="5"/>
      <c r="K2" s="5"/>
    </row>
    <row r="3" spans="1:18" ht="15.75" customHeight="1">
      <c r="A3" s="665" t="s">
        <v>451</v>
      </c>
      <c r="B3" s="665"/>
      <c r="C3" s="665"/>
      <c r="D3" s="665"/>
      <c r="E3" s="665"/>
      <c r="F3" s="665"/>
      <c r="G3" s="665"/>
      <c r="H3" s="665"/>
      <c r="I3" s="665"/>
      <c r="J3" s="665"/>
      <c r="K3" s="665"/>
    </row>
    <row r="4" spans="1:18" ht="15.75" customHeight="1">
      <c r="A4" s="15"/>
      <c r="B4" s="15"/>
      <c r="C4" s="15"/>
      <c r="D4" s="15"/>
      <c r="E4" s="15"/>
      <c r="F4" s="15"/>
      <c r="G4" s="15"/>
      <c r="H4" s="15"/>
      <c r="I4" s="15"/>
      <c r="J4" s="665" t="s">
        <v>255</v>
      </c>
      <c r="K4" s="665"/>
    </row>
    <row r="5" spans="1:18">
      <c r="A5" s="13" t="s">
        <v>120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8">
      <c r="A6" s="7" t="s">
        <v>121</v>
      </c>
      <c r="B6" s="666" t="s">
        <v>123</v>
      </c>
      <c r="C6" s="666"/>
      <c r="D6" s="666"/>
      <c r="E6" s="666"/>
      <c r="F6" s="666" t="s">
        <v>124</v>
      </c>
      <c r="G6" s="666"/>
      <c r="H6" s="666"/>
      <c r="I6" s="666"/>
      <c r="J6" s="666" t="s">
        <v>125</v>
      </c>
      <c r="K6" s="666"/>
    </row>
    <row r="7" spans="1:18" s="6" customFormat="1" ht="51">
      <c r="A7" s="9"/>
      <c r="B7" s="23" t="s">
        <v>245</v>
      </c>
      <c r="C7" s="23" t="s">
        <v>348</v>
      </c>
      <c r="D7" s="23" t="s">
        <v>349</v>
      </c>
      <c r="E7" s="23" t="s">
        <v>350</v>
      </c>
      <c r="F7" s="23" t="s">
        <v>122</v>
      </c>
      <c r="G7" s="23" t="s">
        <v>426</v>
      </c>
      <c r="H7" s="23" t="s">
        <v>351</v>
      </c>
      <c r="I7" s="23" t="s">
        <v>352</v>
      </c>
      <c r="J7" s="23" t="s">
        <v>353</v>
      </c>
      <c r="K7" s="23" t="s">
        <v>354</v>
      </c>
      <c r="M7" s="6" t="s">
        <v>192</v>
      </c>
      <c r="N7" s="6" t="s">
        <v>193</v>
      </c>
      <c r="O7" s="6">
        <v>100</v>
      </c>
      <c r="P7" s="6">
        <v>50</v>
      </c>
      <c r="Q7" s="6" t="s">
        <v>195</v>
      </c>
    </row>
    <row r="8" spans="1:18">
      <c r="A8" s="7" t="s">
        <v>126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8">
      <c r="A9" s="8" t="s">
        <v>127</v>
      </c>
      <c r="B9" s="16"/>
      <c r="C9" s="16"/>
      <c r="D9" s="10"/>
      <c r="E9" s="16"/>
      <c r="F9" s="10"/>
      <c r="G9" s="10"/>
      <c r="H9" s="16"/>
      <c r="I9" s="16"/>
      <c r="J9" s="16"/>
      <c r="K9" s="16"/>
    </row>
    <row r="10" spans="1:18">
      <c r="A10" s="24" t="s">
        <v>86</v>
      </c>
      <c r="B10" s="10">
        <v>19036971</v>
      </c>
      <c r="C10" s="25">
        <v>0</v>
      </c>
      <c r="D10" s="25">
        <v>0</v>
      </c>
      <c r="E10" s="16">
        <f>B10+C10-D10</f>
        <v>19036971</v>
      </c>
      <c r="F10" s="25">
        <v>0</v>
      </c>
      <c r="G10" s="25">
        <f>+Q10</f>
        <v>0</v>
      </c>
      <c r="H10" s="25">
        <v>0</v>
      </c>
      <c r="I10" s="25">
        <v>0</v>
      </c>
      <c r="J10" s="16">
        <f>E10-I10</f>
        <v>19036971</v>
      </c>
      <c r="K10" s="16">
        <v>19036971</v>
      </c>
      <c r="M10" s="44">
        <f>+B10-F10</f>
        <v>19036971</v>
      </c>
      <c r="Q10" s="4">
        <f>+N10+O10+P10</f>
        <v>0</v>
      </c>
    </row>
    <row r="11" spans="1:18">
      <c r="A11" s="8" t="s">
        <v>87</v>
      </c>
      <c r="B11" s="25">
        <v>0</v>
      </c>
      <c r="C11" s="25">
        <v>0</v>
      </c>
      <c r="D11" s="25">
        <v>0</v>
      </c>
      <c r="E11" s="26">
        <f t="shared" ref="E11:E31" si="0">B11+C11-D11</f>
        <v>0</v>
      </c>
      <c r="F11" s="25">
        <v>0</v>
      </c>
      <c r="G11" s="25"/>
      <c r="H11" s="25">
        <v>0</v>
      </c>
      <c r="I11" s="25">
        <v>0</v>
      </c>
      <c r="J11" s="26">
        <f t="shared" ref="J11:J31" si="1">E11-I11</f>
        <v>0</v>
      </c>
      <c r="K11" s="27">
        <v>0</v>
      </c>
      <c r="M11" s="44"/>
    </row>
    <row r="12" spans="1:18">
      <c r="A12" s="8" t="s">
        <v>128</v>
      </c>
      <c r="B12" s="25"/>
      <c r="C12" s="25"/>
      <c r="D12" s="25"/>
      <c r="E12" s="26"/>
      <c r="F12" s="25"/>
      <c r="G12" s="25"/>
      <c r="H12" s="25"/>
      <c r="I12" s="16"/>
      <c r="J12" s="16"/>
      <c r="K12" s="16"/>
      <c r="M12" s="44"/>
    </row>
    <row r="13" spans="1:18">
      <c r="A13" s="8" t="s">
        <v>88</v>
      </c>
      <c r="B13" s="25">
        <v>0</v>
      </c>
      <c r="C13" s="25">
        <v>0</v>
      </c>
      <c r="D13" s="25">
        <v>0</v>
      </c>
      <c r="E13" s="26">
        <f t="shared" si="0"/>
        <v>0</v>
      </c>
      <c r="F13" s="25">
        <v>0</v>
      </c>
      <c r="G13" s="25"/>
      <c r="H13" s="25">
        <v>0</v>
      </c>
      <c r="I13" s="27">
        <v>0</v>
      </c>
      <c r="J13" s="26">
        <f t="shared" si="1"/>
        <v>0</v>
      </c>
      <c r="K13" s="27">
        <v>0</v>
      </c>
      <c r="M13" s="44"/>
    </row>
    <row r="14" spans="1:18">
      <c r="A14" s="8" t="s">
        <v>89</v>
      </c>
      <c r="B14" s="10">
        <v>20656240.809999999</v>
      </c>
      <c r="C14" s="25">
        <v>0</v>
      </c>
      <c r="D14" s="25">
        <v>0</v>
      </c>
      <c r="E14" s="16">
        <f t="shared" si="0"/>
        <v>20656240.809999999</v>
      </c>
      <c r="F14" s="10">
        <v>12384181.951000001</v>
      </c>
      <c r="G14" s="10">
        <v>827205.9</v>
      </c>
      <c r="H14" s="25">
        <v>0</v>
      </c>
      <c r="I14" s="16">
        <f>F14+G14-H14</f>
        <v>13211387.851000002</v>
      </c>
      <c r="J14" s="16">
        <f>E14-I14</f>
        <v>7444852.958999997</v>
      </c>
      <c r="K14" s="16">
        <v>9191176.5099999998</v>
      </c>
      <c r="M14" s="44">
        <f>+B14-F14</f>
        <v>8272058.8589999974</v>
      </c>
      <c r="N14" s="4">
        <f>+M14*0.1</f>
        <v>827205.88589999976</v>
      </c>
      <c r="Q14" s="4">
        <f>+N14+O14+P14</f>
        <v>827205.88589999976</v>
      </c>
      <c r="R14" s="12">
        <f>+Q14-G14</f>
        <v>-1.4100000262260437E-2</v>
      </c>
    </row>
    <row r="15" spans="1:18">
      <c r="A15" s="8" t="s">
        <v>90</v>
      </c>
      <c r="B15" s="10"/>
      <c r="C15" s="25">
        <v>0</v>
      </c>
      <c r="D15" s="25">
        <v>0</v>
      </c>
      <c r="E15" s="26">
        <v>0</v>
      </c>
      <c r="F15" s="25">
        <v>0</v>
      </c>
      <c r="G15" s="10"/>
      <c r="H15" s="25">
        <v>0</v>
      </c>
      <c r="I15" s="26">
        <f t="shared" ref="I15:I31" si="2">F15+G15-H15</f>
        <v>0</v>
      </c>
      <c r="J15" s="26">
        <f t="shared" si="1"/>
        <v>0</v>
      </c>
      <c r="K15" s="27">
        <v>0</v>
      </c>
      <c r="M15" s="44">
        <f>+E15-I15</f>
        <v>0</v>
      </c>
    </row>
    <row r="16" spans="1:18">
      <c r="A16" s="8" t="s">
        <v>91</v>
      </c>
      <c r="B16" s="10">
        <v>10344022.4</v>
      </c>
      <c r="C16" s="25">
        <v>0</v>
      </c>
      <c r="D16" s="25">
        <v>0</v>
      </c>
      <c r="E16" s="16">
        <f t="shared" si="0"/>
        <v>10344022.4</v>
      </c>
      <c r="F16" s="10">
        <v>4669521.68</v>
      </c>
      <c r="G16" s="10">
        <v>567450.1</v>
      </c>
      <c r="H16" s="25">
        <v>0</v>
      </c>
      <c r="I16" s="16">
        <f t="shared" si="2"/>
        <v>5236971.7799999993</v>
      </c>
      <c r="J16" s="16">
        <f>E16-I16</f>
        <v>5107050.620000001</v>
      </c>
      <c r="K16" s="16">
        <v>6305000.8099999996</v>
      </c>
      <c r="M16" s="44">
        <f>+B16-F16</f>
        <v>5674500.7200000007</v>
      </c>
      <c r="N16" s="4">
        <f>+M16*0.1</f>
        <v>567450.07200000004</v>
      </c>
      <c r="Q16" s="4">
        <f>+N16+O16+P16</f>
        <v>567450.07200000004</v>
      </c>
      <c r="R16" s="12">
        <f t="shared" ref="R16:R33" si="3">+Q16-G16</f>
        <v>-2.7999999932944775E-2</v>
      </c>
    </row>
    <row r="17" spans="1:18">
      <c r="A17" s="8" t="s">
        <v>92</v>
      </c>
      <c r="B17" s="10"/>
      <c r="C17" s="10"/>
      <c r="D17" s="25"/>
      <c r="E17" s="16"/>
      <c r="F17" s="10"/>
      <c r="G17" s="10"/>
      <c r="H17" s="25"/>
      <c r="I17" s="26"/>
      <c r="J17" s="26"/>
      <c r="K17" s="18"/>
      <c r="M17" s="44">
        <f>+E17-I17</f>
        <v>0</v>
      </c>
      <c r="R17" s="12">
        <f t="shared" si="3"/>
        <v>0</v>
      </c>
    </row>
    <row r="18" spans="1:18">
      <c r="A18" s="8" t="s">
        <v>27</v>
      </c>
      <c r="B18" s="10">
        <v>16617718</v>
      </c>
      <c r="C18" s="10">
        <v>3952867</v>
      </c>
      <c r="D18" s="25">
        <v>0</v>
      </c>
      <c r="E18" s="16">
        <f t="shared" si="0"/>
        <v>20570585</v>
      </c>
      <c r="F18" s="10">
        <v>1309132.0150000001</v>
      </c>
      <c r="G18" s="10">
        <v>1749128.5490000001</v>
      </c>
      <c r="H18" s="25">
        <v>0</v>
      </c>
      <c r="I18" s="16">
        <f t="shared" si="2"/>
        <v>3058260.5640000002</v>
      </c>
      <c r="J18" s="16">
        <f t="shared" si="1"/>
        <v>17512324.436000001</v>
      </c>
      <c r="K18" s="10">
        <v>3840670.65</v>
      </c>
      <c r="M18" s="44">
        <f>+B18-F18</f>
        <v>15308585.984999999</v>
      </c>
      <c r="N18" s="4">
        <f>+M18*0.1</f>
        <v>1530858.5985000001</v>
      </c>
      <c r="O18" s="4">
        <f>412532*0.1</f>
        <v>41253.200000000004</v>
      </c>
      <c r="P18" s="4">
        <f>3540335*0.1/2</f>
        <v>177016.75</v>
      </c>
      <c r="Q18" s="4">
        <f>+N18+O18+P18</f>
        <v>1749128.5485</v>
      </c>
      <c r="R18" s="12">
        <f t="shared" si="3"/>
        <v>-5.0000008195638657E-4</v>
      </c>
    </row>
    <row r="19" spans="1:18">
      <c r="A19" s="8" t="s">
        <v>334</v>
      </c>
      <c r="B19" s="10"/>
      <c r="C19" s="10">
        <v>9065964</v>
      </c>
      <c r="D19" s="25"/>
      <c r="E19" s="16">
        <f t="shared" si="0"/>
        <v>9065964</v>
      </c>
      <c r="F19" s="10"/>
      <c r="G19" s="10">
        <v>906596.4</v>
      </c>
      <c r="H19" s="25"/>
      <c r="I19" s="16">
        <f t="shared" si="2"/>
        <v>906596.4</v>
      </c>
      <c r="J19" s="16">
        <f t="shared" si="1"/>
        <v>8159367.5999999996</v>
      </c>
      <c r="K19" s="10"/>
      <c r="M19" s="44"/>
      <c r="R19" s="12"/>
    </row>
    <row r="20" spans="1:18">
      <c r="A20" s="8" t="s">
        <v>93</v>
      </c>
      <c r="B20" s="16"/>
      <c r="C20" s="16"/>
      <c r="D20" s="25"/>
      <c r="E20" s="16"/>
      <c r="F20" s="25"/>
      <c r="G20" s="10"/>
      <c r="H20" s="25"/>
      <c r="I20" s="26"/>
      <c r="J20" s="26"/>
      <c r="K20" s="16"/>
      <c r="M20" s="44">
        <f>+E20-I20</f>
        <v>0</v>
      </c>
      <c r="R20" s="12">
        <f t="shared" si="3"/>
        <v>0</v>
      </c>
    </row>
    <row r="21" spans="1:18">
      <c r="A21" s="8" t="s">
        <v>450</v>
      </c>
      <c r="B21" s="16">
        <v>7775083.3799999999</v>
      </c>
      <c r="C21" s="16">
        <v>5667</v>
      </c>
      <c r="D21" s="25">
        <v>0</v>
      </c>
      <c r="E21" s="16">
        <f t="shared" si="0"/>
        <v>7780750.3799999999</v>
      </c>
      <c r="F21" s="10">
        <v>3558503.4940000004</v>
      </c>
      <c r="G21" s="10">
        <v>633337.03289999999</v>
      </c>
      <c r="H21" s="25">
        <v>0</v>
      </c>
      <c r="I21" s="16">
        <f t="shared" si="2"/>
        <v>4191840.5269000004</v>
      </c>
      <c r="J21" s="16">
        <f t="shared" si="1"/>
        <v>3588909.8530999995</v>
      </c>
      <c r="K21" s="16">
        <v>3285013.16</v>
      </c>
      <c r="M21" s="44">
        <f t="shared" ref="M21:M28" si="4">+B21-F21</f>
        <v>4216579.8859999999</v>
      </c>
      <c r="N21" s="4">
        <f>+M21*0.15</f>
        <v>632486.98289999994</v>
      </c>
      <c r="O21" s="4">
        <f>5667*0.15</f>
        <v>850.05</v>
      </c>
      <c r="Q21" s="4">
        <f t="shared" ref="Q21:Q28" si="5">+N21+O21+P21</f>
        <v>633337.03289999999</v>
      </c>
      <c r="R21" s="12">
        <f t="shared" si="3"/>
        <v>0</v>
      </c>
    </row>
    <row r="22" spans="1:18">
      <c r="A22" s="8" t="s">
        <v>231</v>
      </c>
      <c r="B22" s="16">
        <v>70891612.24000001</v>
      </c>
      <c r="C22" s="10">
        <v>8194726</v>
      </c>
      <c r="D22" s="25">
        <v>0</v>
      </c>
      <c r="E22" s="16">
        <f t="shared" si="0"/>
        <v>79086338.24000001</v>
      </c>
      <c r="F22" s="10">
        <v>14590018.859000001</v>
      </c>
      <c r="G22" s="10">
        <v>6275186.2879999997</v>
      </c>
      <c r="H22" s="25">
        <v>0</v>
      </c>
      <c r="I22" s="16">
        <f t="shared" si="2"/>
        <v>20865205.147</v>
      </c>
      <c r="J22" s="16">
        <f t="shared" si="1"/>
        <v>58221133.09300001</v>
      </c>
      <c r="K22" s="16">
        <v>39183481.090000004</v>
      </c>
      <c r="M22" s="44">
        <f t="shared" si="4"/>
        <v>56301593.381000012</v>
      </c>
      <c r="N22" s="4">
        <f>+M22*0.1</f>
        <v>5630159.3381000012</v>
      </c>
      <c r="O22" s="4">
        <f>4705813*0.1</f>
        <v>470581.30000000005</v>
      </c>
      <c r="P22" s="4">
        <f>3488913*0.1/2</f>
        <v>174445.65000000002</v>
      </c>
      <c r="Q22" s="4">
        <f t="shared" si="5"/>
        <v>6275186.2881000014</v>
      </c>
      <c r="R22" s="12">
        <f t="shared" si="3"/>
        <v>1.0000169277191162E-4</v>
      </c>
    </row>
    <row r="23" spans="1:18">
      <c r="A23" s="8" t="s">
        <v>130</v>
      </c>
      <c r="B23" s="16">
        <v>21124784.280000001</v>
      </c>
      <c r="C23" s="10">
        <v>3920214</v>
      </c>
      <c r="D23" s="25">
        <v>0</v>
      </c>
      <c r="E23" s="16">
        <f t="shared" si="0"/>
        <v>25044998.280000001</v>
      </c>
      <c r="F23" s="10">
        <v>7370871.176</v>
      </c>
      <c r="G23" s="10">
        <v>2394672.2409999999</v>
      </c>
      <c r="H23" s="25">
        <v>0</v>
      </c>
      <c r="I23" s="16">
        <f t="shared" si="2"/>
        <v>9765543.4169999994</v>
      </c>
      <c r="J23" s="16">
        <f t="shared" si="1"/>
        <v>15279454.863000002</v>
      </c>
      <c r="K23" s="16">
        <v>9837367.2400000002</v>
      </c>
      <c r="M23" s="44">
        <f t="shared" si="4"/>
        <v>13753913.104000002</v>
      </c>
      <c r="N23" s="4">
        <f>+M23*0.15</f>
        <v>2063086.9656000002</v>
      </c>
      <c r="O23" s="4">
        <f>500923*0.15</f>
        <v>75138.45</v>
      </c>
      <c r="P23" s="4">
        <f>3419291*0.15/2</f>
        <v>256446.82499999998</v>
      </c>
      <c r="Q23" s="4">
        <f t="shared" si="5"/>
        <v>2394672.2406000006</v>
      </c>
      <c r="R23" s="12">
        <f t="shared" si="3"/>
        <v>-3.9999932050704956E-4</v>
      </c>
    </row>
    <row r="24" spans="1:18">
      <c r="A24" s="8" t="s">
        <v>131</v>
      </c>
      <c r="B24" s="10">
        <v>10167689</v>
      </c>
      <c r="C24" s="10">
        <v>1664254</v>
      </c>
      <c r="D24" s="25">
        <v>0</v>
      </c>
      <c r="E24" s="16">
        <f>B24+C24-D24</f>
        <v>11831943</v>
      </c>
      <c r="F24" s="10">
        <v>5013986.1720000003</v>
      </c>
      <c r="G24" s="10">
        <v>3656112.1970000002</v>
      </c>
      <c r="H24" s="25">
        <v>0</v>
      </c>
      <c r="I24" s="16">
        <f t="shared" si="2"/>
        <v>8670098.3690000009</v>
      </c>
      <c r="J24" s="16">
        <f t="shared" si="1"/>
        <v>3161844.6309999991</v>
      </c>
      <c r="K24" s="10">
        <v>1401484.82</v>
      </c>
      <c r="M24" s="44">
        <f t="shared" si="4"/>
        <v>5153702.8279999997</v>
      </c>
      <c r="N24" s="4">
        <f>+M24*0.6</f>
        <v>3092221.6967999996</v>
      </c>
      <c r="O24" s="4">
        <f>215381*0.6</f>
        <v>129228.59999999999</v>
      </c>
      <c r="P24" s="4">
        <f>1448873*0.6/2</f>
        <v>434661.89999999997</v>
      </c>
      <c r="Q24" s="4">
        <f t="shared" si="5"/>
        <v>3656112.1967999996</v>
      </c>
      <c r="R24" s="12">
        <f t="shared" si="3"/>
        <v>-2.000005915760994E-4</v>
      </c>
    </row>
    <row r="25" spans="1:18">
      <c r="A25" s="8" t="s">
        <v>132</v>
      </c>
      <c r="B25" s="16">
        <v>848412</v>
      </c>
      <c r="C25" s="10"/>
      <c r="D25" s="25">
        <v>0</v>
      </c>
      <c r="E25" s="16">
        <f t="shared" si="0"/>
        <v>848412</v>
      </c>
      <c r="F25" s="10">
        <v>144627.66</v>
      </c>
      <c r="G25" s="10">
        <v>70378.429999999993</v>
      </c>
      <c r="H25" s="25">
        <v>0</v>
      </c>
      <c r="I25" s="16">
        <f t="shared" si="2"/>
        <v>215006.09</v>
      </c>
      <c r="J25" s="16">
        <f t="shared" si="1"/>
        <v>633405.91</v>
      </c>
      <c r="K25" s="10">
        <v>597864.6</v>
      </c>
      <c r="M25" s="44">
        <f t="shared" si="4"/>
        <v>703784.34</v>
      </c>
      <c r="N25" s="4">
        <f>+M25*0.1</f>
        <v>70378.433999999994</v>
      </c>
      <c r="Q25" s="4">
        <f t="shared" si="5"/>
        <v>70378.433999999994</v>
      </c>
      <c r="R25" s="12">
        <f t="shared" si="3"/>
        <v>4.0000000008149073E-3</v>
      </c>
    </row>
    <row r="26" spans="1:18">
      <c r="A26" s="8" t="s">
        <v>240</v>
      </c>
      <c r="B26" s="16">
        <v>34577774.560000002</v>
      </c>
      <c r="C26" s="10">
        <v>3154474</v>
      </c>
      <c r="D26" s="25">
        <v>0</v>
      </c>
      <c r="E26" s="16">
        <f t="shared" si="0"/>
        <v>37732248.560000002</v>
      </c>
      <c r="F26" s="10">
        <v>21224636.344000001</v>
      </c>
      <c r="G26" s="10">
        <v>9212261.2300000004</v>
      </c>
      <c r="H26" s="25">
        <v>0</v>
      </c>
      <c r="I26" s="16">
        <f t="shared" si="2"/>
        <v>30436897.574000001</v>
      </c>
      <c r="J26" s="16">
        <f t="shared" si="1"/>
        <v>7295350.9860000014</v>
      </c>
      <c r="K26" s="16">
        <v>7909187.54</v>
      </c>
      <c r="M26" s="44">
        <f t="shared" si="4"/>
        <v>13353138.216000002</v>
      </c>
      <c r="N26" s="4">
        <f>+M26*0.6</f>
        <v>8011882.9296000004</v>
      </c>
      <c r="O26" s="4">
        <f>846787*0.6</f>
        <v>508072.19999999995</v>
      </c>
      <c r="P26" s="4">
        <f>2307687*0.6/2</f>
        <v>692306.1</v>
      </c>
      <c r="Q26" s="4">
        <f t="shared" si="5"/>
        <v>9212261.2295999993</v>
      </c>
      <c r="R26" s="12">
        <f t="shared" si="3"/>
        <v>-4.0000118315219879E-4</v>
      </c>
    </row>
    <row r="27" spans="1:18">
      <c r="A27" s="8" t="s">
        <v>133</v>
      </c>
      <c r="B27" s="10">
        <v>1850488</v>
      </c>
      <c r="C27" s="10"/>
      <c r="D27" s="25">
        <v>0</v>
      </c>
      <c r="E27" s="16">
        <f t="shared" si="0"/>
        <v>1850488</v>
      </c>
      <c r="F27" s="10">
        <v>319382.24</v>
      </c>
      <c r="G27" s="10">
        <v>153110.576</v>
      </c>
      <c r="H27" s="25">
        <v>0</v>
      </c>
      <c r="I27" s="16">
        <f t="shared" si="2"/>
        <v>472492.81599999999</v>
      </c>
      <c r="J27" s="16">
        <f t="shared" si="1"/>
        <v>1377995.1839999999</v>
      </c>
      <c r="K27" s="10">
        <v>1463800.4</v>
      </c>
      <c r="M27" s="44">
        <f t="shared" si="4"/>
        <v>1531105.76</v>
      </c>
      <c r="N27" s="4">
        <f>+M27*0.1</f>
        <v>153110.576</v>
      </c>
      <c r="Q27" s="4">
        <f t="shared" si="5"/>
        <v>153110.576</v>
      </c>
      <c r="R27" s="12">
        <f t="shared" si="3"/>
        <v>0</v>
      </c>
    </row>
    <row r="28" spans="1:18">
      <c r="A28" s="8" t="s">
        <v>355</v>
      </c>
      <c r="B28" s="10">
        <v>626780</v>
      </c>
      <c r="C28" s="25"/>
      <c r="D28" s="25">
        <v>0</v>
      </c>
      <c r="E28" s="16">
        <f t="shared" si="0"/>
        <v>626780</v>
      </c>
      <c r="F28" s="10">
        <v>173931.45</v>
      </c>
      <c r="G28" s="10">
        <v>67927.282500000001</v>
      </c>
      <c r="H28" s="25">
        <v>0</v>
      </c>
      <c r="I28" s="16">
        <f t="shared" si="2"/>
        <v>241858.73250000001</v>
      </c>
      <c r="J28" s="16">
        <f t="shared" si="1"/>
        <v>384921.26749999996</v>
      </c>
      <c r="K28" s="10">
        <v>532763</v>
      </c>
      <c r="M28" s="44">
        <f t="shared" si="4"/>
        <v>452848.55</v>
      </c>
      <c r="N28" s="4">
        <f>+M28*0.15</f>
        <v>67927.282500000001</v>
      </c>
      <c r="Q28" s="4">
        <f t="shared" si="5"/>
        <v>67927.282500000001</v>
      </c>
      <c r="R28" s="12">
        <f t="shared" si="3"/>
        <v>0</v>
      </c>
    </row>
    <row r="29" spans="1:18">
      <c r="A29" s="8" t="s">
        <v>356</v>
      </c>
      <c r="B29" s="16"/>
      <c r="C29" s="16"/>
      <c r="D29" s="25"/>
      <c r="E29" s="16"/>
      <c r="F29" s="10"/>
      <c r="G29" s="10"/>
      <c r="H29" s="25"/>
      <c r="I29" s="16"/>
      <c r="J29" s="16"/>
      <c r="K29" s="10"/>
      <c r="M29" s="44"/>
      <c r="R29" s="12">
        <f t="shared" si="3"/>
        <v>0</v>
      </c>
    </row>
    <row r="30" spans="1:18">
      <c r="A30" s="8" t="s">
        <v>373</v>
      </c>
      <c r="B30" s="16">
        <v>296965364.61000001</v>
      </c>
      <c r="C30" s="16">
        <v>92962816</v>
      </c>
      <c r="D30" s="25">
        <v>0</v>
      </c>
      <c r="E30" s="16">
        <f t="shared" si="0"/>
        <v>389928180.61000001</v>
      </c>
      <c r="F30" s="10">
        <v>68687943.319000006</v>
      </c>
      <c r="G30" s="10">
        <v>45267592.32</v>
      </c>
      <c r="H30" s="25">
        <v>0</v>
      </c>
      <c r="I30" s="16">
        <f t="shared" si="2"/>
        <v>113955535.639</v>
      </c>
      <c r="J30" s="16">
        <f t="shared" si="1"/>
        <v>275972644.97100002</v>
      </c>
      <c r="K30" s="16">
        <v>53812770.960000001</v>
      </c>
      <c r="L30" s="12" t="s">
        <v>105</v>
      </c>
      <c r="M30" s="44">
        <f>+B30-F30</f>
        <v>228277421.29100001</v>
      </c>
      <c r="N30" s="4">
        <f>+M30*0.15</f>
        <v>34241613.19365</v>
      </c>
      <c r="O30" s="4">
        <f>54050239*0.15</f>
        <v>8107535.8499999996</v>
      </c>
      <c r="P30" s="4">
        <f>38912577*0.15/2</f>
        <v>2918443.2749999999</v>
      </c>
      <c r="Q30" s="4">
        <f>+N30+O30+P30</f>
        <v>45267592.31865</v>
      </c>
      <c r="R30" s="12">
        <f t="shared" si="3"/>
        <v>-1.3500005006790161E-3</v>
      </c>
    </row>
    <row r="31" spans="1:18">
      <c r="A31" s="31" t="s">
        <v>194</v>
      </c>
      <c r="C31" s="32">
        <v>12860</v>
      </c>
      <c r="D31" s="25"/>
      <c r="E31" s="16">
        <f t="shared" si="0"/>
        <v>12860</v>
      </c>
      <c r="F31" s="10"/>
      <c r="G31" s="10">
        <v>1236</v>
      </c>
      <c r="H31" s="25"/>
      <c r="I31" s="16">
        <f t="shared" si="2"/>
        <v>1236</v>
      </c>
      <c r="J31" s="16">
        <f t="shared" si="1"/>
        <v>11624</v>
      </c>
      <c r="K31" s="16"/>
      <c r="L31" s="12"/>
      <c r="M31" s="44"/>
      <c r="O31" s="4">
        <v>1236</v>
      </c>
      <c r="Q31" s="4">
        <f>+N31+O31+P31</f>
        <v>1236</v>
      </c>
      <c r="R31" s="12">
        <f t="shared" si="3"/>
        <v>0</v>
      </c>
    </row>
    <row r="32" spans="1:18">
      <c r="A32" s="8"/>
      <c r="B32" s="16"/>
      <c r="C32" s="16"/>
      <c r="D32" s="25"/>
      <c r="E32" s="16"/>
      <c r="F32" s="10"/>
      <c r="G32" s="25"/>
      <c r="H32" s="25"/>
      <c r="I32" s="16"/>
      <c r="J32" s="16"/>
      <c r="K32" s="16"/>
      <c r="L32" s="12"/>
      <c r="M32" s="44"/>
      <c r="R32" s="12">
        <f t="shared" si="3"/>
        <v>0</v>
      </c>
    </row>
    <row r="33" spans="1:18" s="20" customFormat="1">
      <c r="A33" s="7" t="s">
        <v>28</v>
      </c>
      <c r="B33" s="17">
        <f t="shared" ref="B33:K33" si="6">SUM(B10:B32)</f>
        <v>511482940.28000003</v>
      </c>
      <c r="C33" s="17">
        <f t="shared" si="6"/>
        <v>122933842</v>
      </c>
      <c r="D33" s="17">
        <f t="shared" si="6"/>
        <v>0</v>
      </c>
      <c r="E33" s="17">
        <f t="shared" si="6"/>
        <v>634416782.27999997</v>
      </c>
      <c r="F33" s="17">
        <f t="shared" si="6"/>
        <v>139446736.36000001</v>
      </c>
      <c r="G33" s="17">
        <f>SUM(G10:G32)</f>
        <v>71782194.546399996</v>
      </c>
      <c r="H33" s="17">
        <f t="shared" si="6"/>
        <v>0</v>
      </c>
      <c r="I33" s="17">
        <f t="shared" si="6"/>
        <v>211228930.90640002</v>
      </c>
      <c r="J33" s="17">
        <f>SUM(J10:J32)</f>
        <v>423187851.37360001</v>
      </c>
      <c r="K33" s="17">
        <f t="shared" si="6"/>
        <v>156397551.78</v>
      </c>
      <c r="M33" s="44"/>
      <c r="Q33" s="45">
        <f>SUM(Q10:Q31)</f>
        <v>70875598.105550006</v>
      </c>
      <c r="R33" s="12">
        <f t="shared" si="3"/>
        <v>-906596.44084998965</v>
      </c>
    </row>
    <row r="34" spans="1:18" s="20" customFormat="1">
      <c r="A34" s="7" t="s">
        <v>29</v>
      </c>
      <c r="B34" s="11">
        <v>245634976.28</v>
      </c>
      <c r="C34" s="11">
        <v>59498792</v>
      </c>
      <c r="D34" s="28">
        <v>0</v>
      </c>
      <c r="E34" s="17">
        <f>SUM(B34:D34)</f>
        <v>305133768.27999997</v>
      </c>
      <c r="F34" s="11">
        <v>89237424.50999999</v>
      </c>
      <c r="G34" s="11">
        <v>22088302.02</v>
      </c>
      <c r="H34" s="28">
        <v>0</v>
      </c>
      <c r="I34" s="17">
        <f>+F34+G34</f>
        <v>111325726.52999999</v>
      </c>
      <c r="J34" s="11">
        <v>118987061.79000001</v>
      </c>
      <c r="K34" s="11">
        <v>118987061.79000001</v>
      </c>
      <c r="M34" s="44"/>
    </row>
    <row r="35" spans="1:18">
      <c r="A35" s="7" t="s">
        <v>30</v>
      </c>
      <c r="B35" s="8"/>
      <c r="C35" s="10"/>
      <c r="D35" s="25"/>
      <c r="E35" s="16"/>
      <c r="F35" s="10"/>
      <c r="G35" s="10"/>
      <c r="H35" s="26"/>
      <c r="I35" s="8"/>
      <c r="J35" s="16"/>
      <c r="K35" s="16"/>
      <c r="M35" s="44">
        <f>+E35-I35</f>
        <v>0</v>
      </c>
    </row>
    <row r="36" spans="1:18">
      <c r="A36" s="8" t="s">
        <v>31</v>
      </c>
      <c r="B36" s="16">
        <v>220000</v>
      </c>
      <c r="C36" s="25">
        <v>0</v>
      </c>
      <c r="D36" s="25">
        <v>0</v>
      </c>
      <c r="E36" s="16">
        <f>B36+C36-D36</f>
        <v>220000</v>
      </c>
      <c r="F36" s="25">
        <v>0</v>
      </c>
      <c r="G36" s="25">
        <v>0</v>
      </c>
      <c r="H36" s="25">
        <v>0</v>
      </c>
      <c r="I36" s="26">
        <f>F36+G36-H36</f>
        <v>0</v>
      </c>
      <c r="J36" s="16">
        <f>E36-I36</f>
        <v>220000</v>
      </c>
      <c r="K36" s="16">
        <v>220000</v>
      </c>
      <c r="M36" s="44">
        <f>+E36-I36</f>
        <v>220000</v>
      </c>
    </row>
    <row r="37" spans="1:18">
      <c r="A37" s="8" t="s">
        <v>32</v>
      </c>
      <c r="B37" s="16">
        <v>4103188</v>
      </c>
      <c r="C37" s="25">
        <v>0</v>
      </c>
      <c r="D37" s="25">
        <v>0</v>
      </c>
      <c r="E37" s="16">
        <f>B37+C37-D37</f>
        <v>4103188</v>
      </c>
      <c r="F37" s="25">
        <v>0</v>
      </c>
      <c r="G37" s="25">
        <v>0</v>
      </c>
      <c r="H37" s="25">
        <v>0</v>
      </c>
      <c r="I37" s="26">
        <f>F37+G37-H37</f>
        <v>0</v>
      </c>
      <c r="J37" s="16">
        <f>E37-I37</f>
        <v>4103188</v>
      </c>
      <c r="K37" s="16">
        <v>4103188</v>
      </c>
      <c r="M37" s="44">
        <f>+E37-I37</f>
        <v>4103188</v>
      </c>
    </row>
    <row r="38" spans="1:18">
      <c r="A38" s="8" t="s">
        <v>33</v>
      </c>
      <c r="B38" s="16">
        <v>2297313859</v>
      </c>
      <c r="C38" s="25">
        <v>0</v>
      </c>
      <c r="D38" s="25">
        <v>0</v>
      </c>
      <c r="E38" s="16">
        <f>B38+C38-D38</f>
        <v>2297313859</v>
      </c>
      <c r="F38" s="25">
        <v>0</v>
      </c>
      <c r="G38" s="25">
        <v>0</v>
      </c>
      <c r="H38" s="25">
        <v>0</v>
      </c>
      <c r="I38" s="26">
        <f>F38+G38-H38</f>
        <v>0</v>
      </c>
      <c r="J38" s="16">
        <f>E38-I38</f>
        <v>2297313859</v>
      </c>
      <c r="K38" s="16">
        <v>2297313859</v>
      </c>
      <c r="M38" s="44">
        <f>+E38-I38</f>
        <v>2297313859</v>
      </c>
    </row>
    <row r="39" spans="1:18">
      <c r="A39" s="8" t="s">
        <v>34</v>
      </c>
      <c r="B39" s="16">
        <v>60000000</v>
      </c>
      <c r="C39" s="25">
        <v>0</v>
      </c>
      <c r="D39" s="25">
        <v>0</v>
      </c>
      <c r="E39" s="16">
        <f>B39+C39-D39</f>
        <v>60000000</v>
      </c>
      <c r="F39" s="25">
        <v>0</v>
      </c>
      <c r="G39" s="25">
        <v>0</v>
      </c>
      <c r="H39" s="25">
        <v>0</v>
      </c>
      <c r="I39" s="26">
        <f>F39+G39-H39</f>
        <v>0</v>
      </c>
      <c r="J39" s="16">
        <f>E39-I39</f>
        <v>60000000</v>
      </c>
      <c r="K39" s="16">
        <v>60000000</v>
      </c>
      <c r="M39" s="44">
        <f>+E39-I39</f>
        <v>60000000</v>
      </c>
    </row>
    <row r="40" spans="1:18" s="20" customFormat="1">
      <c r="A40" s="7" t="s">
        <v>118</v>
      </c>
      <c r="B40" s="17">
        <v>2361637047</v>
      </c>
      <c r="C40" s="28">
        <f>SUM(C36:C39)</f>
        <v>0</v>
      </c>
      <c r="D40" s="28">
        <v>0</v>
      </c>
      <c r="E40" s="17">
        <f>SUM(E36:E39)</f>
        <v>2361637047</v>
      </c>
      <c r="F40" s="28">
        <v>0</v>
      </c>
      <c r="G40" s="28">
        <f>SUM(G36:G39)</f>
        <v>0</v>
      </c>
      <c r="H40" s="28">
        <v>0</v>
      </c>
      <c r="I40" s="33">
        <f>SUM(I36:I39)</f>
        <v>0</v>
      </c>
      <c r="J40" s="17">
        <f>SUM(J36:J39)</f>
        <v>2361637047</v>
      </c>
      <c r="K40" s="17">
        <f>SUM(K36:K39)</f>
        <v>2361637047</v>
      </c>
      <c r="M40" s="44"/>
    </row>
    <row r="41" spans="1:18" s="20" customFormat="1" ht="13.5" thickBot="1">
      <c r="A41" s="30" t="s">
        <v>35</v>
      </c>
      <c r="B41" s="21">
        <v>2873119987.2800002</v>
      </c>
      <c r="C41" s="21">
        <f>C33+C40</f>
        <v>122933842</v>
      </c>
      <c r="D41" s="34">
        <v>0</v>
      </c>
      <c r="E41" s="21">
        <f>SUM(B41:D41)</f>
        <v>2996053829.2800002</v>
      </c>
      <c r="F41" s="21">
        <v>139446736.36000001</v>
      </c>
      <c r="G41" s="29">
        <f>G33+G40</f>
        <v>71782194.546399996</v>
      </c>
      <c r="H41" s="34">
        <v>0</v>
      </c>
      <c r="I41" s="21">
        <f>I33+I40</f>
        <v>211228930.90640002</v>
      </c>
      <c r="J41" s="21">
        <f>J33+J40</f>
        <v>2784824898.3736</v>
      </c>
      <c r="K41" s="21">
        <f>K33+K40</f>
        <v>2518034598.7800002</v>
      </c>
      <c r="M41" s="44"/>
    </row>
    <row r="42" spans="1:18" ht="13.5" thickTop="1">
      <c r="J42" s="12"/>
    </row>
    <row r="43" spans="1:18">
      <c r="C43" s="14"/>
      <c r="G43" s="22"/>
      <c r="I43" s="12"/>
      <c r="J43" s="12"/>
    </row>
    <row r="44" spans="1:18">
      <c r="C44" s="19"/>
      <c r="G44" s="22"/>
      <c r="J44" s="12"/>
      <c r="K44" s="12"/>
    </row>
    <row r="45" spans="1:18">
      <c r="B45" s="12"/>
      <c r="C45" s="12"/>
      <c r="G45" s="22"/>
    </row>
    <row r="46" spans="1:18">
      <c r="C46" s="12"/>
    </row>
    <row r="47" spans="1:18">
      <c r="G47" s="12"/>
    </row>
  </sheetData>
  <sheetProtection sheet="1" objects="1" scenarios="1"/>
  <mergeCells count="6">
    <mergeCell ref="A1:K1"/>
    <mergeCell ref="A3:K3"/>
    <mergeCell ref="J4:K4"/>
    <mergeCell ref="B6:E6"/>
    <mergeCell ref="F6:I6"/>
    <mergeCell ref="J6:K6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3:L21"/>
  <sheetViews>
    <sheetView topLeftCell="A37" workbookViewId="0">
      <selection activeCell="L20" sqref="L20"/>
    </sheetView>
  </sheetViews>
  <sheetFormatPr defaultColWidth="9.140625" defaultRowHeight="15.75"/>
  <cols>
    <col min="1" max="1" width="20.85546875" style="50" bestFit="1" customWidth="1"/>
    <col min="2" max="2" width="9.140625" style="50"/>
    <col min="3" max="3" width="11.5703125" style="50" bestFit="1" customWidth="1"/>
    <col min="4" max="4" width="17.85546875" style="50" customWidth="1"/>
    <col min="5" max="5" width="16" style="50" customWidth="1"/>
    <col min="6" max="6" width="15.140625" style="50" customWidth="1"/>
    <col min="7" max="7" width="15" style="50" customWidth="1"/>
    <col min="8" max="8" width="15.28515625" style="50" customWidth="1"/>
    <col min="9" max="9" width="10.5703125" style="50" bestFit="1" customWidth="1"/>
    <col min="10" max="10" width="9.140625" style="50"/>
    <col min="11" max="11" width="10.5703125" style="50" bestFit="1" customWidth="1"/>
    <col min="12" max="16384" width="9.140625" style="50"/>
  </cols>
  <sheetData>
    <row r="3" spans="1:12">
      <c r="G3" s="52"/>
    </row>
    <row r="5" spans="1:12">
      <c r="C5" s="67"/>
    </row>
    <row r="6" spans="1:12">
      <c r="C6" s="67"/>
    </row>
    <row r="8" spans="1:12" ht="16.5" thickBot="1"/>
    <row r="9" spans="1:12" ht="16.5" thickBot="1">
      <c r="A9" s="108" t="s">
        <v>658</v>
      </c>
      <c r="B9" s="106" t="s">
        <v>651</v>
      </c>
      <c r="C9" s="106" t="s">
        <v>659</v>
      </c>
      <c r="D9" s="106" t="s">
        <v>655</v>
      </c>
      <c r="E9" s="106" t="s">
        <v>652</v>
      </c>
      <c r="F9" s="106" t="s">
        <v>653</v>
      </c>
      <c r="G9" s="106" t="s">
        <v>654</v>
      </c>
      <c r="H9" s="106" t="s">
        <v>656</v>
      </c>
      <c r="I9" s="107" t="s">
        <v>657</v>
      </c>
    </row>
    <row r="10" spans="1:12">
      <c r="A10" s="113">
        <v>7444853</v>
      </c>
      <c r="B10" s="114">
        <v>51.5</v>
      </c>
      <c r="C10" s="115">
        <f>A10/B10</f>
        <v>144560.25242718446</v>
      </c>
      <c r="D10" s="115">
        <f>C10*12</f>
        <v>1734723.0291262134</v>
      </c>
      <c r="E10" s="115">
        <f>C10*12</f>
        <v>1734723.0291262134</v>
      </c>
      <c r="F10" s="115">
        <f>C10*12</f>
        <v>1734723.0291262134</v>
      </c>
      <c r="G10" s="115">
        <f>C10*12</f>
        <v>1734723.0291262134</v>
      </c>
      <c r="H10" s="115">
        <f>C10*3.5</f>
        <v>505960.88349514559</v>
      </c>
      <c r="I10" s="116">
        <f>SUM(D10:H10)</f>
        <v>7444852.9999999991</v>
      </c>
      <c r="K10" s="55">
        <f>+I10</f>
        <v>7444852.9999999991</v>
      </c>
      <c r="L10" s="50">
        <v>7444</v>
      </c>
    </row>
    <row r="11" spans="1:12" ht="16.5" thickBot="1">
      <c r="A11" s="109">
        <v>5107051</v>
      </c>
      <c r="B11" s="110">
        <v>51.5</v>
      </c>
      <c r="C11" s="111">
        <f>A11/B11</f>
        <v>99166.038834951454</v>
      </c>
      <c r="D11" s="111">
        <f>C11*12</f>
        <v>1189992.4660194174</v>
      </c>
      <c r="E11" s="111">
        <f>C11*12</f>
        <v>1189992.4660194174</v>
      </c>
      <c r="F11" s="111">
        <f>C11*12</f>
        <v>1189992.4660194174</v>
      </c>
      <c r="G11" s="111">
        <f>C11*12</f>
        <v>1189992.4660194174</v>
      </c>
      <c r="H11" s="111">
        <f>C11*3.5</f>
        <v>347081.13592233008</v>
      </c>
      <c r="I11" s="112">
        <f>SUM(D11:H11)</f>
        <v>5107051</v>
      </c>
      <c r="K11" s="50">
        <f>+K10/39.5</f>
        <v>188477.29113924049</v>
      </c>
    </row>
    <row r="12" spans="1:12">
      <c r="F12" s="55"/>
      <c r="K12" s="50">
        <f>+K11*12</f>
        <v>2261727.4936708859</v>
      </c>
    </row>
    <row r="13" spans="1:12">
      <c r="F13" s="55"/>
    </row>
    <row r="15" spans="1:12">
      <c r="D15" s="55">
        <f>A10-D10</f>
        <v>5710129.9708737861</v>
      </c>
      <c r="F15" s="55">
        <f>A10</f>
        <v>7444853</v>
      </c>
      <c r="G15" s="55">
        <f>A11</f>
        <v>5107051</v>
      </c>
    </row>
    <row r="16" spans="1:12">
      <c r="D16" s="55">
        <f>A11-D11</f>
        <v>3917058.5339805828</v>
      </c>
      <c r="F16" s="55">
        <f>D10</f>
        <v>1734723.0291262134</v>
      </c>
      <c r="G16" s="55">
        <f>D11</f>
        <v>1189992.4660194174</v>
      </c>
    </row>
    <row r="17" spans="2:7">
      <c r="F17" s="55">
        <f>E10</f>
        <v>1734723.0291262134</v>
      </c>
      <c r="G17" s="55">
        <f>E11</f>
        <v>1189992.4660194174</v>
      </c>
    </row>
    <row r="18" spans="2:7">
      <c r="B18" s="50">
        <v>2012</v>
      </c>
      <c r="C18" s="50">
        <v>12</v>
      </c>
      <c r="F18" s="100">
        <f>F15-F16-F17</f>
        <v>3975406.9417475727</v>
      </c>
      <c r="G18" s="100">
        <f>G15-G16-G17</f>
        <v>2727066.0679611657</v>
      </c>
    </row>
    <row r="19" spans="2:7">
      <c r="B19" s="50">
        <v>2013</v>
      </c>
      <c r="C19" s="50">
        <v>12</v>
      </c>
    </row>
    <row r="20" spans="2:7">
      <c r="B20" s="50" t="s">
        <v>734</v>
      </c>
      <c r="C20" s="50">
        <v>12</v>
      </c>
      <c r="D20" s="50">
        <v>39.5</v>
      </c>
    </row>
    <row r="21" spans="2:7">
      <c r="B21" s="50">
        <v>3.5</v>
      </c>
    </row>
  </sheetData>
  <sheetProtection sheet="1" objects="1" scenarios="1"/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2:B36"/>
  <sheetViews>
    <sheetView topLeftCell="A25" zoomScale="110" zoomScaleNormal="110" workbookViewId="0">
      <selection activeCell="A3" sqref="A3:C3"/>
    </sheetView>
  </sheetViews>
  <sheetFormatPr defaultColWidth="9.140625" defaultRowHeight="15.75"/>
  <cols>
    <col min="1" max="1" width="50.42578125" style="120" bestFit="1" customWidth="1"/>
    <col min="2" max="2" width="15" style="120" bestFit="1" customWidth="1"/>
    <col min="3" max="16384" width="9.140625" style="120"/>
  </cols>
  <sheetData>
    <row r="2" spans="1:2" ht="19.5">
      <c r="A2" s="121" t="s">
        <v>740</v>
      </c>
    </row>
    <row r="4" spans="1:2" ht="19.5">
      <c r="A4" s="123" t="s">
        <v>741</v>
      </c>
      <c r="B4" s="123" t="s">
        <v>767</v>
      </c>
    </row>
    <row r="5" spans="1:2">
      <c r="A5" s="120" t="s">
        <v>742</v>
      </c>
      <c r="B5" s="122">
        <v>988387</v>
      </c>
    </row>
    <row r="6" spans="1:2">
      <c r="A6" s="120" t="s">
        <v>743</v>
      </c>
      <c r="B6" s="122">
        <v>1187240.56</v>
      </c>
    </row>
    <row r="7" spans="1:2">
      <c r="A7" s="120" t="s">
        <v>744</v>
      </c>
      <c r="B7" s="122">
        <v>3832974.3</v>
      </c>
    </row>
    <row r="8" spans="1:2">
      <c r="A8" s="120" t="s">
        <v>745</v>
      </c>
      <c r="B8" s="122">
        <v>1312740</v>
      </c>
    </row>
    <row r="9" spans="1:2">
      <c r="A9" s="120" t="s">
        <v>746</v>
      </c>
      <c r="B9" s="122">
        <v>914894</v>
      </c>
    </row>
    <row r="10" spans="1:2">
      <c r="A10" s="120" t="s">
        <v>747</v>
      </c>
      <c r="B10" s="122">
        <v>1227307.17</v>
      </c>
    </row>
    <row r="11" spans="1:2">
      <c r="A11" s="120" t="s">
        <v>748</v>
      </c>
      <c r="B11" s="122">
        <v>419233.63</v>
      </c>
    </row>
    <row r="12" spans="1:2">
      <c r="A12" s="120" t="s">
        <v>749</v>
      </c>
      <c r="B12" s="122">
        <v>363868.82</v>
      </c>
    </row>
    <row r="13" spans="1:2">
      <c r="A13" s="120" t="s">
        <v>750</v>
      </c>
      <c r="B13" s="122">
        <v>57006</v>
      </c>
    </row>
    <row r="14" spans="1:2" ht="19.5">
      <c r="A14" s="123" t="s">
        <v>765</v>
      </c>
      <c r="B14" s="124">
        <f>SUM(B5:B13)</f>
        <v>10303651.48</v>
      </c>
    </row>
    <row r="15" spans="1:2">
      <c r="B15" s="122"/>
    </row>
    <row r="17" spans="1:2" ht="19.5">
      <c r="A17" s="121" t="s">
        <v>751</v>
      </c>
    </row>
    <row r="19" spans="1:2" ht="19.5">
      <c r="A19" s="123" t="s">
        <v>741</v>
      </c>
      <c r="B19" s="123" t="s">
        <v>767</v>
      </c>
    </row>
    <row r="20" spans="1:2">
      <c r="A20" s="120" t="s">
        <v>752</v>
      </c>
      <c r="B20" s="120">
        <v>1376677.25</v>
      </c>
    </row>
    <row r="21" spans="1:2">
      <c r="A21" s="120" t="s">
        <v>753</v>
      </c>
      <c r="B21" s="120">
        <v>648602.80000000005</v>
      </c>
    </row>
    <row r="22" spans="1:2">
      <c r="A22" s="120" t="s">
        <v>754</v>
      </c>
      <c r="B22" s="120">
        <v>2951802.16</v>
      </c>
    </row>
    <row r="23" spans="1:2">
      <c r="A23" s="120" t="s">
        <v>755</v>
      </c>
      <c r="B23" s="120">
        <v>2865102.79</v>
      </c>
    </row>
    <row r="24" spans="1:2">
      <c r="A24" s="120" t="s">
        <v>756</v>
      </c>
      <c r="B24" s="120">
        <v>2234374.34</v>
      </c>
    </row>
    <row r="25" spans="1:2">
      <c r="A25" s="120" t="s">
        <v>757</v>
      </c>
      <c r="B25" s="120">
        <v>555561.38</v>
      </c>
    </row>
    <row r="26" spans="1:2">
      <c r="A26" s="120" t="s">
        <v>758</v>
      </c>
      <c r="B26" s="120">
        <v>3433099.32</v>
      </c>
    </row>
    <row r="27" spans="1:2">
      <c r="A27" s="120" t="s">
        <v>759</v>
      </c>
      <c r="B27" s="120">
        <v>587611.30000000005</v>
      </c>
    </row>
    <row r="28" spans="1:2">
      <c r="A28" s="120" t="s">
        <v>760</v>
      </c>
      <c r="B28" s="120">
        <v>2809635</v>
      </c>
    </row>
    <row r="29" spans="1:2">
      <c r="A29" s="120" t="s">
        <v>761</v>
      </c>
      <c r="B29" s="120">
        <v>2812422.06</v>
      </c>
    </row>
    <row r="30" spans="1:2">
      <c r="A30" s="120" t="s">
        <v>762</v>
      </c>
      <c r="B30" s="120">
        <v>4088558.53</v>
      </c>
    </row>
    <row r="31" spans="1:2">
      <c r="A31" s="120" t="s">
        <v>763</v>
      </c>
      <c r="B31" s="120">
        <v>129044.06</v>
      </c>
    </row>
    <row r="32" spans="1:2">
      <c r="A32" s="120" t="s">
        <v>764</v>
      </c>
      <c r="B32" s="120">
        <v>989603.99</v>
      </c>
    </row>
    <row r="33" spans="1:2" ht="19.5">
      <c r="A33" s="123" t="s">
        <v>765</v>
      </c>
      <c r="B33" s="124">
        <f>SUM(B20:B32)</f>
        <v>25482094.98</v>
      </c>
    </row>
    <row r="36" spans="1:2" ht="19.5">
      <c r="A36" s="123" t="s">
        <v>766</v>
      </c>
      <c r="B36" s="124">
        <f>B14+B33</f>
        <v>35785746.460000001</v>
      </c>
    </row>
  </sheetData>
  <sheetProtection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2:A3"/>
  <sheetViews>
    <sheetView workbookViewId="0">
      <selection activeCell="A3" sqref="A3:C3"/>
    </sheetView>
  </sheetViews>
  <sheetFormatPr defaultRowHeight="12.75"/>
  <sheetData>
    <row r="2" spans="1:1">
      <c r="A2" t="s">
        <v>771</v>
      </c>
    </row>
    <row r="3" spans="1:1">
      <c r="A3" t="s">
        <v>772</v>
      </c>
    </row>
  </sheetData>
  <sheetProtection sheet="1" objects="1" scenarios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16"/>
  <sheetViews>
    <sheetView topLeftCell="A8" workbookViewId="0">
      <selection activeCell="A3" sqref="A3:C3"/>
    </sheetView>
  </sheetViews>
  <sheetFormatPr defaultColWidth="8.85546875" defaultRowHeight="15.75"/>
  <cols>
    <col min="1" max="1" width="10.5703125" style="50" bestFit="1" customWidth="1"/>
    <col min="2" max="2" width="16.7109375" style="50" customWidth="1"/>
    <col min="3" max="3" width="19.28515625" style="50" customWidth="1"/>
    <col min="4" max="4" width="17.42578125" style="50" customWidth="1"/>
    <col min="5" max="5" width="14.7109375" style="50" bestFit="1" customWidth="1"/>
    <col min="6" max="7" width="13" style="50" customWidth="1"/>
    <col min="8" max="8" width="11.140625" style="50" bestFit="1" customWidth="1"/>
    <col min="9" max="9" width="10.85546875" style="50" customWidth="1"/>
    <col min="10" max="10" width="11.42578125" style="50" customWidth="1"/>
    <col min="11" max="16384" width="8.85546875" style="50"/>
  </cols>
  <sheetData>
    <row r="1" spans="1:11" s="96" customFormat="1" ht="79.5" thickBot="1">
      <c r="A1" s="191" t="s">
        <v>905</v>
      </c>
      <c r="B1" s="192" t="s">
        <v>906</v>
      </c>
      <c r="C1" s="180" t="s">
        <v>911</v>
      </c>
      <c r="D1" s="180" t="s">
        <v>907</v>
      </c>
      <c r="E1" s="180" t="s">
        <v>908</v>
      </c>
      <c r="F1" s="180" t="s">
        <v>914</v>
      </c>
      <c r="G1" s="180" t="s">
        <v>952</v>
      </c>
      <c r="H1" s="180" t="s">
        <v>921</v>
      </c>
      <c r="I1" s="180" t="s">
        <v>909</v>
      </c>
      <c r="J1" s="181" t="s">
        <v>913</v>
      </c>
    </row>
    <row r="2" spans="1:11" ht="47.25">
      <c r="A2" s="133">
        <v>1</v>
      </c>
      <c r="B2" s="193" t="s">
        <v>910</v>
      </c>
      <c r="C2" s="187" t="s">
        <v>912</v>
      </c>
      <c r="D2" s="115">
        <v>140000</v>
      </c>
      <c r="E2" s="115">
        <v>87199</v>
      </c>
      <c r="F2" s="115">
        <v>3960</v>
      </c>
      <c r="G2" s="115">
        <f>E2+F2</f>
        <v>91159</v>
      </c>
      <c r="H2" s="115">
        <f>D2-E2-F2</f>
        <v>48841</v>
      </c>
      <c r="I2" s="115">
        <v>110000</v>
      </c>
      <c r="J2" s="116">
        <f>I2-H2</f>
        <v>61159</v>
      </c>
    </row>
    <row r="3" spans="1:11" ht="48" thickBot="1">
      <c r="A3" s="135">
        <v>2</v>
      </c>
      <c r="B3" s="194" t="s">
        <v>910</v>
      </c>
      <c r="C3" s="188" t="s">
        <v>912</v>
      </c>
      <c r="D3" s="111">
        <v>140000</v>
      </c>
      <c r="E3" s="183">
        <v>87199</v>
      </c>
      <c r="F3" s="183">
        <v>3960</v>
      </c>
      <c r="G3" s="115">
        <f>E3+F3</f>
        <v>91159</v>
      </c>
      <c r="H3" s="183">
        <f>D3-E3-F3</f>
        <v>48841</v>
      </c>
      <c r="I3" s="183">
        <v>110000</v>
      </c>
      <c r="J3" s="195">
        <f>I3-H3</f>
        <v>61159</v>
      </c>
    </row>
    <row r="4" spans="1:11" ht="16.5" thickBot="1">
      <c r="A4" s="52"/>
      <c r="B4" s="81"/>
      <c r="C4" s="52"/>
      <c r="D4" s="67"/>
      <c r="E4" s="67"/>
      <c r="F4" s="52"/>
      <c r="G4" s="52"/>
      <c r="H4" s="52"/>
      <c r="I4" s="52"/>
      <c r="J4" s="52"/>
    </row>
    <row r="5" spans="1:11" ht="79.5" thickBot="1">
      <c r="A5" s="178" t="s">
        <v>905</v>
      </c>
      <c r="B5" s="179" t="s">
        <v>906</v>
      </c>
      <c r="C5" s="180" t="s">
        <v>911</v>
      </c>
      <c r="D5" s="180" t="s">
        <v>907</v>
      </c>
      <c r="E5" s="180" t="s">
        <v>908</v>
      </c>
      <c r="F5" s="180" t="s">
        <v>916</v>
      </c>
      <c r="G5" s="180" t="s">
        <v>952</v>
      </c>
      <c r="H5" s="180" t="s">
        <v>923</v>
      </c>
      <c r="I5" s="181" t="s">
        <v>909</v>
      </c>
      <c r="J5" s="184" t="s">
        <v>913</v>
      </c>
    </row>
    <row r="6" spans="1:11" ht="48" thickBot="1">
      <c r="A6" s="185">
        <v>1</v>
      </c>
      <c r="B6" s="182" t="s">
        <v>915</v>
      </c>
      <c r="C6" s="189" t="s">
        <v>922</v>
      </c>
      <c r="D6" s="183">
        <v>150000</v>
      </c>
      <c r="E6" s="183">
        <v>93428</v>
      </c>
      <c r="F6" s="183">
        <v>4243</v>
      </c>
      <c r="G6" s="115">
        <f>E6+F6</f>
        <v>97671</v>
      </c>
      <c r="H6" s="183">
        <f>D6-E6-F6</f>
        <v>52329</v>
      </c>
      <c r="I6" s="195">
        <v>15000</v>
      </c>
      <c r="J6" s="195">
        <f>I6-H6</f>
        <v>-37329</v>
      </c>
    </row>
    <row r="8" spans="1:11" ht="16.5" thickBot="1"/>
    <row r="9" spans="1:11" ht="79.5" thickBot="1">
      <c r="A9" s="178" t="s">
        <v>905</v>
      </c>
      <c r="B9" s="179" t="s">
        <v>906</v>
      </c>
      <c r="C9" s="180" t="s">
        <v>911</v>
      </c>
      <c r="D9" s="180" t="s">
        <v>907</v>
      </c>
      <c r="E9" s="180" t="s">
        <v>908</v>
      </c>
      <c r="F9" s="180" t="s">
        <v>918</v>
      </c>
      <c r="G9" s="180" t="s">
        <v>952</v>
      </c>
      <c r="H9" s="180" t="s">
        <v>925</v>
      </c>
      <c r="I9" s="180" t="s">
        <v>909</v>
      </c>
      <c r="J9" s="181" t="s">
        <v>913</v>
      </c>
    </row>
    <row r="10" spans="1:11" ht="63.75" thickBot="1">
      <c r="A10" s="185">
        <v>1</v>
      </c>
      <c r="B10" s="186" t="s">
        <v>917</v>
      </c>
      <c r="C10" s="189" t="s">
        <v>924</v>
      </c>
      <c r="D10" s="183">
        <v>150000</v>
      </c>
      <c r="E10" s="183">
        <v>93428</v>
      </c>
      <c r="F10" s="183">
        <v>4243</v>
      </c>
      <c r="G10" s="115">
        <f>E10+F10</f>
        <v>97671</v>
      </c>
      <c r="H10" s="183">
        <f>D10-E10-F10</f>
        <v>52329</v>
      </c>
      <c r="I10" s="183">
        <v>49500</v>
      </c>
      <c r="J10" s="195">
        <f>I10-H10</f>
        <v>-2829</v>
      </c>
    </row>
    <row r="11" spans="1:11" ht="16.5" thickBot="1"/>
    <row r="12" spans="1:11" ht="79.5" thickBot="1">
      <c r="A12" s="178" t="s">
        <v>905</v>
      </c>
      <c r="B12" s="179" t="s">
        <v>906</v>
      </c>
      <c r="C12" s="180" t="s">
        <v>911</v>
      </c>
      <c r="D12" s="180" t="s">
        <v>907</v>
      </c>
      <c r="E12" s="180" t="s">
        <v>908</v>
      </c>
      <c r="F12" s="180" t="s">
        <v>918</v>
      </c>
      <c r="G12" s="180" t="s">
        <v>952</v>
      </c>
      <c r="H12" s="180" t="s">
        <v>926</v>
      </c>
      <c r="I12" s="180" t="s">
        <v>909</v>
      </c>
      <c r="J12" s="181" t="s">
        <v>913</v>
      </c>
    </row>
    <row r="13" spans="1:11" ht="48" thickBot="1">
      <c r="A13" s="185">
        <v>1</v>
      </c>
      <c r="B13" s="186" t="s">
        <v>919</v>
      </c>
      <c r="C13" s="190" t="s">
        <v>920</v>
      </c>
      <c r="D13" s="183">
        <v>3977242</v>
      </c>
      <c r="E13" s="183">
        <v>3252951</v>
      </c>
      <c r="F13" s="183">
        <v>54321</v>
      </c>
      <c r="G13" s="115">
        <f>E13+F13</f>
        <v>3307272</v>
      </c>
      <c r="H13" s="183">
        <f>D13-E13-F13</f>
        <v>669970</v>
      </c>
      <c r="I13" s="183">
        <v>80000</v>
      </c>
      <c r="J13" s="195">
        <f>I13-H13</f>
        <v>-589970</v>
      </c>
      <c r="K13" s="118"/>
    </row>
    <row r="15" spans="1:11">
      <c r="D15" s="55">
        <f>D2+D3+D6+D10+D13</f>
        <v>4557242</v>
      </c>
      <c r="E15" s="55"/>
      <c r="F15" s="55"/>
      <c r="G15" s="55">
        <f>G2+G3+G6+G10+G13</f>
        <v>3684932</v>
      </c>
      <c r="H15" s="55">
        <f>H2+H3+H6+H10+H13</f>
        <v>872310</v>
      </c>
      <c r="I15" s="55">
        <f>I2+I3+I6+I10+I13</f>
        <v>364500</v>
      </c>
      <c r="J15" s="55">
        <f>J2+J3+J6+J10+J13</f>
        <v>-507810</v>
      </c>
    </row>
    <row r="16" spans="1:11">
      <c r="D16" s="55">
        <f>D2+D3+D6+D10+D13</f>
        <v>4557242</v>
      </c>
      <c r="E16" s="55"/>
      <c r="G16" s="55">
        <f>G2+G3+G6+G10+G13</f>
        <v>3684932</v>
      </c>
      <c r="H16" s="55">
        <f>H2+H3+H6+H10+H13</f>
        <v>872310</v>
      </c>
    </row>
  </sheetData>
  <sheetProtection sheet="1" objects="1" scenarios="1"/>
  <pageMargins left="0.70866141732283472" right="0.70866141732283472" top="0.17" bottom="0.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A17"/>
  <sheetViews>
    <sheetView workbookViewId="0">
      <selection activeCell="A3" sqref="A3:C3"/>
    </sheetView>
  </sheetViews>
  <sheetFormatPr defaultColWidth="8.85546875" defaultRowHeight="15.75"/>
  <cols>
    <col min="1" max="1" width="18.28515625" style="50" customWidth="1"/>
    <col min="2" max="2" width="17.28515625" style="50" customWidth="1"/>
    <col min="3" max="3" width="16.42578125" style="50" customWidth="1"/>
    <col min="4" max="4" width="11.5703125" style="50" customWidth="1"/>
    <col min="5" max="5" width="10.5703125" style="50" bestFit="1" customWidth="1"/>
    <col min="6" max="6" width="11.7109375" style="50" customWidth="1"/>
    <col min="7" max="7" width="10.5703125" style="50" bestFit="1" customWidth="1"/>
    <col min="8" max="8" width="11.5703125" style="50" customWidth="1"/>
    <col min="9" max="9" width="10.5703125" style="50" bestFit="1" customWidth="1"/>
    <col min="10" max="10" width="10.28515625" style="50" customWidth="1"/>
    <col min="11" max="11" width="10.5703125" style="50" bestFit="1" customWidth="1"/>
    <col min="12" max="12" width="11.7109375" style="50" customWidth="1"/>
    <col min="13" max="13" width="10.5703125" style="50" bestFit="1" customWidth="1"/>
    <col min="14" max="14" width="10.28515625" style="50" customWidth="1"/>
    <col min="15" max="15" width="10.5703125" style="50" bestFit="1" customWidth="1"/>
    <col min="16" max="16" width="11.28515625" style="50" customWidth="1"/>
    <col min="17" max="17" width="10.5703125" style="50" bestFit="1" customWidth="1"/>
    <col min="18" max="18" width="10.28515625" style="50" customWidth="1"/>
    <col min="19" max="19" width="10.5703125" style="50" bestFit="1" customWidth="1"/>
    <col min="20" max="20" width="11.7109375" style="50" customWidth="1"/>
    <col min="21" max="21" width="10.7109375" style="50" customWidth="1"/>
    <col min="22" max="22" width="11.85546875" style="50" customWidth="1"/>
    <col min="23" max="23" width="9.5703125" style="50" bestFit="1" customWidth="1"/>
    <col min="24" max="24" width="12.140625" style="50" customWidth="1"/>
    <col min="25" max="25" width="9.5703125" style="50" bestFit="1" customWidth="1"/>
    <col min="26" max="26" width="11.7109375" style="50" customWidth="1"/>
    <col min="27" max="27" width="9.5703125" style="50" bestFit="1" customWidth="1"/>
    <col min="28" max="16384" width="8.85546875" style="50"/>
  </cols>
  <sheetData>
    <row r="1" spans="1:27" ht="79.5" thickBot="1">
      <c r="A1" s="178" t="s">
        <v>934</v>
      </c>
      <c r="B1" s="180" t="s">
        <v>936</v>
      </c>
      <c r="C1" s="180" t="s">
        <v>935</v>
      </c>
      <c r="D1" s="198" t="s">
        <v>927</v>
      </c>
      <c r="E1" s="180" t="s">
        <v>544</v>
      </c>
      <c r="F1" s="198" t="s">
        <v>928</v>
      </c>
      <c r="G1" s="180" t="s">
        <v>544</v>
      </c>
      <c r="H1" s="198" t="s">
        <v>929</v>
      </c>
      <c r="I1" s="180" t="s">
        <v>544</v>
      </c>
      <c r="J1" s="198" t="s">
        <v>930</v>
      </c>
      <c r="K1" s="180" t="s">
        <v>544</v>
      </c>
      <c r="L1" s="198" t="s">
        <v>931</v>
      </c>
      <c r="M1" s="180" t="s">
        <v>544</v>
      </c>
      <c r="N1" s="198" t="s">
        <v>932</v>
      </c>
      <c r="O1" s="180" t="s">
        <v>544</v>
      </c>
      <c r="P1" s="198" t="s">
        <v>933</v>
      </c>
      <c r="Q1" s="181" t="s">
        <v>192</v>
      </c>
    </row>
    <row r="2" spans="1:27" ht="48" thickBot="1">
      <c r="A2" s="200" t="s">
        <v>910</v>
      </c>
      <c r="B2" s="201">
        <v>140000</v>
      </c>
      <c r="C2" s="183" t="s">
        <v>912</v>
      </c>
      <c r="D2" s="183">
        <f>B2*15/100</f>
        <v>21000</v>
      </c>
      <c r="E2" s="183">
        <f>B2-D2</f>
        <v>119000</v>
      </c>
      <c r="F2" s="183">
        <f>E2*15/100</f>
        <v>17850</v>
      </c>
      <c r="G2" s="183">
        <f>E2-F2</f>
        <v>101150</v>
      </c>
      <c r="H2" s="183">
        <f>G2*15/100</f>
        <v>15172.5</v>
      </c>
      <c r="I2" s="183">
        <f>G2-H2</f>
        <v>85977.5</v>
      </c>
      <c r="J2" s="183">
        <f>I2*15/100</f>
        <v>12896.625</v>
      </c>
      <c r="K2" s="183">
        <f>I2-J2</f>
        <v>73080.875</v>
      </c>
      <c r="L2" s="183">
        <f>K2*15/100</f>
        <v>10962.13125</v>
      </c>
      <c r="M2" s="183">
        <f>K2-L2</f>
        <v>62118.743750000001</v>
      </c>
      <c r="N2" s="183">
        <f>M2*15/100</f>
        <v>9317.8115624999991</v>
      </c>
      <c r="O2" s="183">
        <f>M2-N2</f>
        <v>52800.932187500002</v>
      </c>
      <c r="P2" s="183">
        <f>O2*7.5/100</f>
        <v>3960.0699140625006</v>
      </c>
      <c r="Q2" s="195">
        <f>O2-P2</f>
        <v>48840.862273437502</v>
      </c>
    </row>
    <row r="4" spans="1:27" ht="16.5" thickBot="1"/>
    <row r="5" spans="1:27" ht="79.5" thickBot="1">
      <c r="A5" s="178" t="s">
        <v>934</v>
      </c>
      <c r="B5" s="180" t="s">
        <v>936</v>
      </c>
      <c r="C5" s="180" t="s">
        <v>935</v>
      </c>
      <c r="D5" s="198" t="s">
        <v>927</v>
      </c>
      <c r="E5" s="180" t="s">
        <v>544</v>
      </c>
      <c r="F5" s="198" t="s">
        <v>928</v>
      </c>
      <c r="G5" s="180" t="s">
        <v>544</v>
      </c>
      <c r="H5" s="198" t="s">
        <v>929</v>
      </c>
      <c r="I5" s="180" t="s">
        <v>544</v>
      </c>
      <c r="J5" s="198" t="s">
        <v>930</v>
      </c>
      <c r="K5" s="180" t="s">
        <v>544</v>
      </c>
      <c r="L5" s="198" t="s">
        <v>931</v>
      </c>
      <c r="M5" s="180" t="s">
        <v>544</v>
      </c>
      <c r="N5" s="198" t="s">
        <v>932</v>
      </c>
      <c r="O5" s="180" t="s">
        <v>544</v>
      </c>
      <c r="P5" s="198" t="s">
        <v>933</v>
      </c>
      <c r="Q5" s="181" t="s">
        <v>192</v>
      </c>
    </row>
    <row r="6" spans="1:27" ht="48" thickBot="1">
      <c r="A6" s="200" t="s">
        <v>910</v>
      </c>
      <c r="B6" s="201">
        <v>140000</v>
      </c>
      <c r="C6" s="183" t="s">
        <v>912</v>
      </c>
      <c r="D6" s="183">
        <f>B6*15/100</f>
        <v>21000</v>
      </c>
      <c r="E6" s="183">
        <f>B6-D6</f>
        <v>119000</v>
      </c>
      <c r="F6" s="183">
        <f>E6*15/100</f>
        <v>17850</v>
      </c>
      <c r="G6" s="183">
        <f>E6-F6</f>
        <v>101150</v>
      </c>
      <c r="H6" s="183">
        <f>G6*15/100</f>
        <v>15172.5</v>
      </c>
      <c r="I6" s="183">
        <f>G6-H6</f>
        <v>85977.5</v>
      </c>
      <c r="J6" s="183">
        <f>I6*15/100</f>
        <v>12896.625</v>
      </c>
      <c r="K6" s="183">
        <f>I6-J6</f>
        <v>73080.875</v>
      </c>
      <c r="L6" s="183">
        <f>K6*15/100</f>
        <v>10962.13125</v>
      </c>
      <c r="M6" s="183">
        <f>K6-L6</f>
        <v>62118.743750000001</v>
      </c>
      <c r="N6" s="183">
        <f>M6*15/100</f>
        <v>9317.8115624999991</v>
      </c>
      <c r="O6" s="183">
        <f>M6-N6</f>
        <v>52800.932187500002</v>
      </c>
      <c r="P6" s="183">
        <f>O6*7.5/100</f>
        <v>3960.0699140625006</v>
      </c>
      <c r="Q6" s="195">
        <f>O6-P6</f>
        <v>48840.862273437502</v>
      </c>
    </row>
    <row r="8" spans="1:27" ht="16.5" thickBot="1"/>
    <row r="9" spans="1:27" ht="79.5" thickBot="1">
      <c r="A9" s="178" t="s">
        <v>934</v>
      </c>
      <c r="B9" s="180" t="s">
        <v>936</v>
      </c>
      <c r="C9" s="180" t="s">
        <v>935</v>
      </c>
      <c r="D9" s="198" t="s">
        <v>937</v>
      </c>
      <c r="E9" s="180" t="s">
        <v>544</v>
      </c>
      <c r="F9" s="198" t="s">
        <v>928</v>
      </c>
      <c r="G9" s="180" t="s">
        <v>544</v>
      </c>
      <c r="H9" s="198" t="s">
        <v>929</v>
      </c>
      <c r="I9" s="180" t="s">
        <v>544</v>
      </c>
      <c r="J9" s="198" t="s">
        <v>930</v>
      </c>
      <c r="K9" s="180" t="s">
        <v>544</v>
      </c>
      <c r="L9" s="198" t="s">
        <v>931</v>
      </c>
      <c r="M9" s="180" t="s">
        <v>544</v>
      </c>
      <c r="N9" s="198" t="s">
        <v>932</v>
      </c>
      <c r="O9" s="180" t="s">
        <v>544</v>
      </c>
      <c r="P9" s="198" t="s">
        <v>938</v>
      </c>
      <c r="Q9" s="181" t="s">
        <v>192</v>
      </c>
    </row>
    <row r="10" spans="1:27" ht="48" thickBot="1">
      <c r="A10" s="199" t="s">
        <v>915</v>
      </c>
      <c r="B10" s="183">
        <v>150000</v>
      </c>
      <c r="C10" s="197" t="s">
        <v>922</v>
      </c>
      <c r="D10" s="183">
        <f>B10*15/100</f>
        <v>22500</v>
      </c>
      <c r="E10" s="183">
        <f>B10-D10</f>
        <v>127500</v>
      </c>
      <c r="F10" s="183">
        <f>E10*15/100</f>
        <v>19125</v>
      </c>
      <c r="G10" s="183">
        <f>E10-F10</f>
        <v>108375</v>
      </c>
      <c r="H10" s="183">
        <f>G10*15/100</f>
        <v>16256.25</v>
      </c>
      <c r="I10" s="183">
        <f>G10-H10</f>
        <v>92118.75</v>
      </c>
      <c r="J10" s="183">
        <f>I10*15/100</f>
        <v>13817.8125</v>
      </c>
      <c r="K10" s="183">
        <f>I10-J10</f>
        <v>78300.9375</v>
      </c>
      <c r="L10" s="183">
        <f>K10*15/100</f>
        <v>11745.140625</v>
      </c>
      <c r="M10" s="183">
        <f>K10-L10</f>
        <v>66555.796875</v>
      </c>
      <c r="N10" s="183">
        <f>M10*15/100</f>
        <v>9983.3695312500004</v>
      </c>
      <c r="O10" s="183">
        <f>M10-N10</f>
        <v>56572.427343750001</v>
      </c>
      <c r="P10" s="183">
        <f>O10*7.5/100</f>
        <v>4242.9320507812499</v>
      </c>
      <c r="Q10" s="195">
        <f>O10-P10</f>
        <v>52329.49529296875</v>
      </c>
    </row>
    <row r="12" spans="1:27" ht="16.5" thickBot="1"/>
    <row r="13" spans="1:27" ht="79.5" thickBot="1">
      <c r="A13" s="178" t="s">
        <v>934</v>
      </c>
      <c r="B13" s="180" t="s">
        <v>936</v>
      </c>
      <c r="C13" s="180" t="s">
        <v>935</v>
      </c>
      <c r="D13" s="198" t="s">
        <v>939</v>
      </c>
      <c r="E13" s="180" t="s">
        <v>544</v>
      </c>
      <c r="F13" s="198" t="s">
        <v>928</v>
      </c>
      <c r="G13" s="180" t="s">
        <v>544</v>
      </c>
      <c r="H13" s="198" t="s">
        <v>929</v>
      </c>
      <c r="I13" s="180" t="s">
        <v>544</v>
      </c>
      <c r="J13" s="198" t="s">
        <v>930</v>
      </c>
      <c r="K13" s="180" t="s">
        <v>544</v>
      </c>
      <c r="L13" s="198" t="s">
        <v>931</v>
      </c>
      <c r="M13" s="180" t="s">
        <v>544</v>
      </c>
      <c r="N13" s="198" t="s">
        <v>932</v>
      </c>
      <c r="O13" s="180" t="s">
        <v>544</v>
      </c>
      <c r="P13" s="198" t="s">
        <v>940</v>
      </c>
      <c r="Q13" s="181" t="s">
        <v>192</v>
      </c>
    </row>
    <row r="14" spans="1:27" ht="48" thickBot="1">
      <c r="A14" s="196" t="s">
        <v>917</v>
      </c>
      <c r="B14" s="183">
        <v>150000</v>
      </c>
      <c r="C14" s="197" t="s">
        <v>924</v>
      </c>
      <c r="D14" s="183">
        <f>B14*15/100</f>
        <v>22500</v>
      </c>
      <c r="E14" s="183">
        <f>B14-D14</f>
        <v>127500</v>
      </c>
      <c r="F14" s="183">
        <f>E14*15/100</f>
        <v>19125</v>
      </c>
      <c r="G14" s="183">
        <f>E14-F14</f>
        <v>108375</v>
      </c>
      <c r="H14" s="183">
        <f>G14*15/100</f>
        <v>16256.25</v>
      </c>
      <c r="I14" s="183">
        <f>G14-H14</f>
        <v>92118.75</v>
      </c>
      <c r="J14" s="183">
        <f>I14*15/100</f>
        <v>13817.8125</v>
      </c>
      <c r="K14" s="183">
        <f>I14-J14</f>
        <v>78300.9375</v>
      </c>
      <c r="L14" s="183">
        <f>K14*15/100</f>
        <v>11745.140625</v>
      </c>
      <c r="M14" s="183">
        <f>K14-L14</f>
        <v>66555.796875</v>
      </c>
      <c r="N14" s="183">
        <f>M14*15/100</f>
        <v>9983.3695312500004</v>
      </c>
      <c r="O14" s="183">
        <f>M14-N14</f>
        <v>56572.427343750001</v>
      </c>
      <c r="P14" s="183">
        <f>O14*7.5/100</f>
        <v>4242.9320507812499</v>
      </c>
      <c r="Q14" s="195">
        <f>O14-P14</f>
        <v>52329.49529296875</v>
      </c>
    </row>
    <row r="15" spans="1:27" ht="16.5" thickBot="1"/>
    <row r="16" spans="1:27" ht="79.5" thickBot="1">
      <c r="A16" s="178" t="s">
        <v>934</v>
      </c>
      <c r="B16" s="180" t="s">
        <v>936</v>
      </c>
      <c r="C16" s="180" t="s">
        <v>935</v>
      </c>
      <c r="D16" s="198" t="s">
        <v>941</v>
      </c>
      <c r="E16" s="180" t="s">
        <v>544</v>
      </c>
      <c r="F16" s="198" t="s">
        <v>942</v>
      </c>
      <c r="G16" s="180" t="s">
        <v>544</v>
      </c>
      <c r="H16" s="198" t="s">
        <v>943</v>
      </c>
      <c r="I16" s="180" t="s">
        <v>544</v>
      </c>
      <c r="J16" s="198" t="s">
        <v>944</v>
      </c>
      <c r="K16" s="180" t="s">
        <v>544</v>
      </c>
      <c r="L16" s="198" t="s">
        <v>945</v>
      </c>
      <c r="M16" s="180" t="s">
        <v>544</v>
      </c>
      <c r="N16" s="198" t="s">
        <v>946</v>
      </c>
      <c r="O16" s="180" t="s">
        <v>544</v>
      </c>
      <c r="P16" s="198" t="s">
        <v>928</v>
      </c>
      <c r="Q16" s="180" t="s">
        <v>192</v>
      </c>
      <c r="R16" s="198" t="s">
        <v>929</v>
      </c>
      <c r="S16" s="180" t="s">
        <v>192</v>
      </c>
      <c r="T16" s="198" t="s">
        <v>930</v>
      </c>
      <c r="U16" s="180" t="s">
        <v>192</v>
      </c>
      <c r="V16" s="198" t="s">
        <v>931</v>
      </c>
      <c r="W16" s="180" t="s">
        <v>192</v>
      </c>
      <c r="X16" s="198" t="s">
        <v>932</v>
      </c>
      <c r="Y16" s="180" t="s">
        <v>192</v>
      </c>
      <c r="Z16" s="198" t="s">
        <v>940</v>
      </c>
      <c r="AA16" s="181" t="s">
        <v>192</v>
      </c>
    </row>
    <row r="17" spans="1:27" ht="32.25" thickBot="1">
      <c r="A17" s="196" t="s">
        <v>919</v>
      </c>
      <c r="B17" s="197">
        <v>3977242.33</v>
      </c>
      <c r="C17" s="197" t="s">
        <v>920</v>
      </c>
      <c r="D17" s="183">
        <f>B17*7.5/100</f>
        <v>298293.17475000001</v>
      </c>
      <c r="E17" s="183">
        <f>B17-D17</f>
        <v>3678949.1552499998</v>
      </c>
      <c r="F17" s="183">
        <f>E17*15/100</f>
        <v>551842.3732875</v>
      </c>
      <c r="G17" s="183">
        <f>E17-F17</f>
        <v>3127106.7819625</v>
      </c>
      <c r="H17" s="183">
        <f>G17*15/100</f>
        <v>469066.01729437499</v>
      </c>
      <c r="I17" s="183">
        <f>G17-H17</f>
        <v>2658040.7646681247</v>
      </c>
      <c r="J17" s="197">
        <f>I17*15/100</f>
        <v>398706.11470021872</v>
      </c>
      <c r="K17" s="183">
        <f>I17-J17</f>
        <v>2259334.6499679061</v>
      </c>
      <c r="L17" s="183">
        <f>K17*15/100</f>
        <v>338900.19749518589</v>
      </c>
      <c r="M17" s="183">
        <f>K17-L17</f>
        <v>1920434.4524727203</v>
      </c>
      <c r="N17" s="183">
        <f>M17*15/100</f>
        <v>288065.16787090804</v>
      </c>
      <c r="O17" s="183">
        <f>M17-N17</f>
        <v>1632369.2846018123</v>
      </c>
      <c r="P17" s="183">
        <f>O17*15/100</f>
        <v>244855.39269027184</v>
      </c>
      <c r="Q17" s="183">
        <f>O17-P17</f>
        <v>1387513.8919115404</v>
      </c>
      <c r="R17" s="183">
        <f>Q17*15/100</f>
        <v>208127.08378673106</v>
      </c>
      <c r="S17" s="183">
        <f>Q17-R17</f>
        <v>1179386.8081248093</v>
      </c>
      <c r="T17" s="183">
        <f>S17*15/100</f>
        <v>176908.02121872138</v>
      </c>
      <c r="U17" s="183">
        <f>S17-T17</f>
        <v>1002478.7869060879</v>
      </c>
      <c r="V17" s="183">
        <f>U17*15/100</f>
        <v>150371.81803591319</v>
      </c>
      <c r="W17" s="183">
        <f>U17-V17</f>
        <v>852106.96887017472</v>
      </c>
      <c r="X17" s="183">
        <f>W17*15/100</f>
        <v>127816.04533052622</v>
      </c>
      <c r="Y17" s="183">
        <f>W17-X17</f>
        <v>724290.92353964853</v>
      </c>
      <c r="Z17" s="183">
        <f>Y17*7.5/100</f>
        <v>54321.819265473641</v>
      </c>
      <c r="AA17" s="195">
        <f>Y17-Z17</f>
        <v>669969.1042741749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Q44"/>
  <sheetViews>
    <sheetView view="pageBreakPreview" topLeftCell="A16" zoomScale="80" zoomScaleSheetLayoutView="80" workbookViewId="0">
      <selection activeCell="I36" sqref="I36"/>
    </sheetView>
  </sheetViews>
  <sheetFormatPr defaultColWidth="9.140625" defaultRowHeight="15.75"/>
  <cols>
    <col min="1" max="1" width="47.140625" style="50" customWidth="1"/>
    <col min="2" max="2" width="21.7109375" style="50" customWidth="1"/>
    <col min="3" max="3" width="18.85546875" style="50" customWidth="1"/>
    <col min="4" max="4" width="21.28515625" style="50" customWidth="1"/>
    <col min="5" max="5" width="18.28515625" style="50" customWidth="1"/>
    <col min="6" max="6" width="14.28515625" style="50" customWidth="1"/>
    <col min="7" max="7" width="15.42578125" style="50" bestFit="1" customWidth="1"/>
    <col min="8" max="16384" width="9.140625" style="50"/>
  </cols>
  <sheetData>
    <row r="1" spans="1:17" ht="26.25" customHeight="1">
      <c r="A1" s="557" t="s">
        <v>504</v>
      </c>
      <c r="B1" s="557"/>
      <c r="C1" s="557"/>
      <c r="D1" s="557"/>
      <c r="E1" s="557"/>
    </row>
    <row r="2" spans="1:17" ht="13.5" customHeight="1">
      <c r="A2" s="49"/>
      <c r="B2" s="49"/>
      <c r="C2" s="49"/>
      <c r="D2" s="49"/>
      <c r="E2" s="49"/>
    </row>
    <row r="3" spans="1:17">
      <c r="A3" s="567" t="s">
        <v>1116</v>
      </c>
      <c r="B3" s="567"/>
      <c r="C3" s="567"/>
      <c r="D3" s="567"/>
      <c r="E3" s="567"/>
      <c r="F3" s="64"/>
      <c r="G3" s="64"/>
    </row>
    <row r="4" spans="1:17" ht="16.5" thickBot="1">
      <c r="A4" s="52"/>
      <c r="B4" s="52"/>
      <c r="C4" s="52"/>
      <c r="E4" s="207" t="s">
        <v>1113</v>
      </c>
    </row>
    <row r="5" spans="1:17" ht="16.5" thickBot="1">
      <c r="A5" s="65" t="s">
        <v>269</v>
      </c>
      <c r="B5" s="568" t="s">
        <v>409</v>
      </c>
      <c r="C5" s="564"/>
      <c r="D5" s="565" t="s">
        <v>410</v>
      </c>
      <c r="E5" s="566"/>
    </row>
    <row r="6" spans="1:17">
      <c r="A6" s="66" t="s">
        <v>24</v>
      </c>
      <c r="B6" s="306">
        <v>2447145988.2310314</v>
      </c>
      <c r="C6" s="307" t="s">
        <v>233</v>
      </c>
      <c r="D6" s="306">
        <v>2650370957.1110315</v>
      </c>
      <c r="E6" s="308" t="s">
        <v>233</v>
      </c>
      <c r="F6" s="67"/>
      <c r="G6" s="63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17">
      <c r="A7" s="68" t="s">
        <v>503</v>
      </c>
      <c r="B7" s="292">
        <v>280000000</v>
      </c>
      <c r="C7" s="309" t="s">
        <v>233</v>
      </c>
      <c r="D7" s="292">
        <v>278500000</v>
      </c>
      <c r="E7" s="309" t="s">
        <v>233</v>
      </c>
      <c r="F7" s="69"/>
      <c r="G7" s="63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1:17">
      <c r="A8" s="68" t="s">
        <v>779</v>
      </c>
      <c r="B8" s="292">
        <f>IE!C27</f>
        <v>259489045.51999998</v>
      </c>
      <c r="C8" s="309" t="s">
        <v>233</v>
      </c>
      <c r="D8" s="292">
        <v>-481724968.87999988</v>
      </c>
      <c r="E8" s="309" t="s">
        <v>233</v>
      </c>
      <c r="F8" s="63"/>
      <c r="G8" s="63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1:17">
      <c r="A9" s="68" t="s">
        <v>531</v>
      </c>
      <c r="B9" s="293" t="s">
        <v>233</v>
      </c>
      <c r="C9" s="309"/>
      <c r="D9" s="292"/>
      <c r="E9" s="309"/>
      <c r="F9" s="67"/>
      <c r="G9" s="63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ht="17.25" customHeight="1">
      <c r="A10" s="539" t="s">
        <v>1440</v>
      </c>
      <c r="B10" s="292">
        <v>297593572.76999998</v>
      </c>
      <c r="C10" s="309"/>
      <c r="D10" s="292"/>
      <c r="E10" s="309"/>
      <c r="F10" s="67"/>
      <c r="G10" s="157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>
      <c r="A11" s="68" t="s">
        <v>1441</v>
      </c>
      <c r="B11" s="293"/>
      <c r="C11" s="309"/>
      <c r="D11" s="293"/>
      <c r="E11" s="309"/>
      <c r="F11" s="67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spans="1:17" ht="16.5" thickBot="1">
      <c r="A12" s="70"/>
      <c r="B12" s="310"/>
      <c r="C12" s="540"/>
      <c r="D12" s="312"/>
      <c r="E12" s="311"/>
      <c r="F12" s="67"/>
      <c r="H12" s="52"/>
      <c r="I12" s="52"/>
      <c r="J12" s="52"/>
      <c r="K12" s="52"/>
      <c r="L12" s="52"/>
      <c r="M12" s="52"/>
      <c r="N12" s="52"/>
      <c r="O12" s="52"/>
      <c r="P12" s="52"/>
      <c r="Q12" s="52"/>
    </row>
    <row r="13" spans="1:17" ht="16.5" thickBot="1">
      <c r="A13" s="57" t="s">
        <v>232</v>
      </c>
      <c r="B13" s="313"/>
      <c r="C13" s="314">
        <f>(B6+B7+B8-B10)</f>
        <v>2689041460.9810314</v>
      </c>
      <c r="D13" s="315"/>
      <c r="E13" s="314">
        <f>(D6+D7+D8-D10)</f>
        <v>2447145988.2310314</v>
      </c>
      <c r="F13" s="72"/>
      <c r="G13" s="73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spans="1:17" ht="16.5" thickBot="1">
      <c r="A14" s="177"/>
      <c r="B14" s="63"/>
      <c r="C14" s="52"/>
      <c r="D14" s="52"/>
      <c r="E14" s="176"/>
      <c r="G14" s="55"/>
    </row>
    <row r="15" spans="1:17" ht="16.5" thickBot="1">
      <c r="A15" s="65" t="s">
        <v>25</v>
      </c>
      <c r="B15" s="563" t="s">
        <v>409</v>
      </c>
      <c r="C15" s="564"/>
      <c r="D15" s="565" t="s">
        <v>410</v>
      </c>
      <c r="E15" s="566"/>
    </row>
    <row r="16" spans="1:17">
      <c r="A16" s="66" t="s">
        <v>6</v>
      </c>
      <c r="B16" s="117" t="s">
        <v>105</v>
      </c>
      <c r="C16" s="117" t="s">
        <v>105</v>
      </c>
      <c r="D16" s="117" t="s">
        <v>105</v>
      </c>
      <c r="E16" s="117" t="s">
        <v>105</v>
      </c>
    </row>
    <row r="17" spans="1:5">
      <c r="A17" s="68" t="s">
        <v>37</v>
      </c>
      <c r="B17" s="75" t="s">
        <v>233</v>
      </c>
      <c r="C17" s="75" t="s">
        <v>233</v>
      </c>
      <c r="D17" s="75" t="s">
        <v>233</v>
      </c>
      <c r="E17" s="75" t="s">
        <v>233</v>
      </c>
    </row>
    <row r="18" spans="1:5">
      <c r="A18" s="68" t="s">
        <v>36</v>
      </c>
      <c r="B18" s="75" t="s">
        <v>233</v>
      </c>
      <c r="C18" s="75" t="s">
        <v>233</v>
      </c>
      <c r="D18" s="75" t="s">
        <v>233</v>
      </c>
      <c r="E18" s="75" t="s">
        <v>233</v>
      </c>
    </row>
    <row r="19" spans="1:5">
      <c r="A19" s="68" t="s">
        <v>244</v>
      </c>
      <c r="B19" s="75" t="s">
        <v>233</v>
      </c>
      <c r="C19" s="75" t="s">
        <v>233</v>
      </c>
      <c r="D19" s="75" t="s">
        <v>233</v>
      </c>
      <c r="E19" s="75" t="s">
        <v>233</v>
      </c>
    </row>
    <row r="20" spans="1:5">
      <c r="A20" s="68" t="s">
        <v>9</v>
      </c>
      <c r="B20" s="75"/>
      <c r="C20" s="75" t="s">
        <v>105</v>
      </c>
      <c r="D20" s="75" t="s">
        <v>105</v>
      </c>
      <c r="E20" s="75" t="s">
        <v>105</v>
      </c>
    </row>
    <row r="21" spans="1:5">
      <c r="A21" s="68" t="s">
        <v>37</v>
      </c>
      <c r="B21" s="75" t="s">
        <v>233</v>
      </c>
      <c r="C21" s="75" t="s">
        <v>233</v>
      </c>
      <c r="D21" s="75" t="s">
        <v>233</v>
      </c>
      <c r="E21" s="75" t="s">
        <v>233</v>
      </c>
    </row>
    <row r="22" spans="1:5">
      <c r="A22" s="68" t="s">
        <v>36</v>
      </c>
      <c r="B22" s="75" t="s">
        <v>233</v>
      </c>
      <c r="C22" s="75" t="s">
        <v>233</v>
      </c>
      <c r="D22" s="75" t="s">
        <v>233</v>
      </c>
      <c r="E22" s="75" t="s">
        <v>233</v>
      </c>
    </row>
    <row r="23" spans="1:5">
      <c r="A23" s="68" t="s">
        <v>26</v>
      </c>
      <c r="B23" s="75" t="s">
        <v>233</v>
      </c>
      <c r="C23" s="75" t="s">
        <v>233</v>
      </c>
      <c r="D23" s="75" t="s">
        <v>233</v>
      </c>
      <c r="E23" s="75" t="s">
        <v>233</v>
      </c>
    </row>
    <row r="24" spans="1:5">
      <c r="A24" s="68" t="s">
        <v>8</v>
      </c>
      <c r="B24" s="75" t="s">
        <v>105</v>
      </c>
      <c r="C24" s="75" t="s">
        <v>105</v>
      </c>
      <c r="D24" s="75" t="s">
        <v>105</v>
      </c>
      <c r="E24" s="75" t="s">
        <v>105</v>
      </c>
    </row>
    <row r="25" spans="1:5">
      <c r="A25" s="68" t="s">
        <v>37</v>
      </c>
      <c r="B25" s="75" t="s">
        <v>233</v>
      </c>
      <c r="C25" s="75" t="s">
        <v>233</v>
      </c>
      <c r="D25" s="75" t="s">
        <v>233</v>
      </c>
      <c r="E25" s="75" t="s">
        <v>233</v>
      </c>
    </row>
    <row r="26" spans="1:5">
      <c r="A26" s="68" t="s">
        <v>36</v>
      </c>
      <c r="B26" s="75" t="s">
        <v>233</v>
      </c>
      <c r="C26" s="75" t="s">
        <v>233</v>
      </c>
      <c r="D26" s="75" t="s">
        <v>233</v>
      </c>
      <c r="E26" s="75" t="s">
        <v>233</v>
      </c>
    </row>
    <row r="27" spans="1:5">
      <c r="A27" s="68" t="s">
        <v>26</v>
      </c>
      <c r="B27" s="75" t="s">
        <v>233</v>
      </c>
      <c r="C27" s="75" t="s">
        <v>233</v>
      </c>
      <c r="D27" s="75" t="s">
        <v>233</v>
      </c>
      <c r="E27" s="75" t="s">
        <v>233</v>
      </c>
    </row>
    <row r="28" spans="1:5">
      <c r="A28" s="68" t="s">
        <v>7</v>
      </c>
      <c r="B28" s="75" t="s">
        <v>105</v>
      </c>
      <c r="C28" s="75" t="s">
        <v>105</v>
      </c>
      <c r="D28" s="75" t="s">
        <v>105</v>
      </c>
      <c r="E28" s="75" t="s">
        <v>105</v>
      </c>
    </row>
    <row r="29" spans="1:5">
      <c r="A29" s="68" t="s">
        <v>37</v>
      </c>
      <c r="B29" s="75" t="s">
        <v>233</v>
      </c>
      <c r="C29" s="75" t="s">
        <v>233</v>
      </c>
      <c r="D29" s="75" t="s">
        <v>233</v>
      </c>
      <c r="E29" s="75" t="s">
        <v>233</v>
      </c>
    </row>
    <row r="30" spans="1:5">
      <c r="A30" s="68" t="s">
        <v>36</v>
      </c>
      <c r="B30" s="75" t="s">
        <v>233</v>
      </c>
      <c r="C30" s="75" t="s">
        <v>233</v>
      </c>
      <c r="D30" s="75" t="s">
        <v>233</v>
      </c>
      <c r="E30" s="75" t="s">
        <v>233</v>
      </c>
    </row>
    <row r="31" spans="1:5" ht="16.5" thickBot="1">
      <c r="A31" s="70" t="s">
        <v>26</v>
      </c>
      <c r="B31" s="76" t="s">
        <v>233</v>
      </c>
      <c r="C31" s="76" t="s">
        <v>233</v>
      </c>
      <c r="D31" s="76" t="s">
        <v>233</v>
      </c>
      <c r="E31" s="76" t="s">
        <v>233</v>
      </c>
    </row>
    <row r="32" spans="1:5" ht="16.5" thickBot="1">
      <c r="A32" s="71" t="s">
        <v>411</v>
      </c>
      <c r="B32" s="77" t="s">
        <v>233</v>
      </c>
      <c r="C32" s="77" t="s">
        <v>233</v>
      </c>
      <c r="D32" s="77" t="s">
        <v>233</v>
      </c>
      <c r="E32" s="77" t="s">
        <v>233</v>
      </c>
    </row>
    <row r="36" spans="1:5" ht="15.75" customHeight="1">
      <c r="A36" s="559" t="s">
        <v>1443</v>
      </c>
      <c r="B36" s="559"/>
      <c r="C36" s="557" t="s">
        <v>1464</v>
      </c>
      <c r="D36" s="557"/>
      <c r="E36" s="557"/>
    </row>
    <row r="37" spans="1:5">
      <c r="A37" s="559"/>
      <c r="B37" s="559"/>
      <c r="C37" s="557"/>
      <c r="D37" s="557"/>
      <c r="E37" s="557"/>
    </row>
    <row r="38" spans="1:5">
      <c r="A38" s="559"/>
      <c r="B38" s="559"/>
      <c r="C38" s="557"/>
      <c r="D38" s="557"/>
      <c r="E38" s="557"/>
    </row>
    <row r="39" spans="1:5">
      <c r="A39" s="556" t="s">
        <v>801</v>
      </c>
      <c r="B39" s="556"/>
      <c r="C39" s="556"/>
      <c r="D39" s="556"/>
      <c r="E39" s="556"/>
    </row>
    <row r="44" spans="1:5">
      <c r="A44" s="55"/>
    </row>
  </sheetData>
  <mergeCells count="9">
    <mergeCell ref="A39:E39"/>
    <mergeCell ref="B15:C15"/>
    <mergeCell ref="D15:E15"/>
    <mergeCell ref="A3:E3"/>
    <mergeCell ref="A1:E1"/>
    <mergeCell ref="B5:C5"/>
    <mergeCell ref="D5:E5"/>
    <mergeCell ref="C36:E38"/>
    <mergeCell ref="A36:B38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92" orientation="landscape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9">
    <pageSetUpPr fitToPage="1"/>
  </sheetPr>
  <dimension ref="A1:G35"/>
  <sheetViews>
    <sheetView view="pageBreakPreview" topLeftCell="A19" zoomScale="90" zoomScaleSheetLayoutView="90" workbookViewId="0">
      <selection activeCell="E19" sqref="E19"/>
    </sheetView>
  </sheetViews>
  <sheetFormatPr defaultColWidth="9.140625" defaultRowHeight="15.75"/>
  <cols>
    <col min="1" max="1" width="67.140625" style="50" customWidth="1"/>
    <col min="2" max="5" width="9.140625" style="50"/>
    <col min="6" max="6" width="12.7109375" style="50" customWidth="1"/>
    <col min="7" max="7" width="13.42578125" style="50" customWidth="1"/>
    <col min="8" max="16384" width="9.140625" style="50"/>
  </cols>
  <sheetData>
    <row r="1" spans="1:7" ht="16.5" customHeight="1">
      <c r="A1" s="49"/>
      <c r="B1" s="49"/>
      <c r="C1" s="49"/>
      <c r="D1" s="49"/>
      <c r="E1" s="49"/>
      <c r="F1" s="49"/>
      <c r="G1" s="49"/>
    </row>
    <row r="2" spans="1:7" ht="15.75" customHeight="1">
      <c r="A2" s="567" t="s">
        <v>1116</v>
      </c>
      <c r="B2" s="567"/>
      <c r="C2" s="567"/>
      <c r="D2" s="567"/>
      <c r="E2" s="567"/>
      <c r="F2" s="567"/>
      <c r="G2" s="567"/>
    </row>
    <row r="3" spans="1:7">
      <c r="G3" s="207" t="s">
        <v>1113</v>
      </c>
    </row>
    <row r="4" spans="1:7" ht="16.5" thickBot="1">
      <c r="F4" s="63"/>
      <c r="G4" s="63"/>
    </row>
    <row r="5" spans="1:7" ht="16.5" thickBot="1">
      <c r="A5" s="71" t="s">
        <v>38</v>
      </c>
      <c r="B5" s="563" t="s">
        <v>116</v>
      </c>
      <c r="C5" s="569"/>
      <c r="D5" s="569"/>
      <c r="E5" s="564"/>
      <c r="F5" s="563" t="s">
        <v>411</v>
      </c>
      <c r="G5" s="564"/>
    </row>
    <row r="6" spans="1:7" ht="16.5" thickBot="1">
      <c r="A6" s="66"/>
      <c r="B6" s="65" t="s">
        <v>112</v>
      </c>
      <c r="C6" s="131" t="s">
        <v>113</v>
      </c>
      <c r="D6" s="131" t="s">
        <v>114</v>
      </c>
      <c r="E6" s="131" t="s">
        <v>115</v>
      </c>
      <c r="F6" s="131" t="s">
        <v>409</v>
      </c>
      <c r="G6" s="131" t="s">
        <v>410</v>
      </c>
    </row>
    <row r="7" spans="1:7">
      <c r="A7" s="68" t="s">
        <v>39</v>
      </c>
      <c r="B7" s="133" t="s">
        <v>233</v>
      </c>
      <c r="C7" s="74" t="s">
        <v>233</v>
      </c>
      <c r="D7" s="74" t="s">
        <v>233</v>
      </c>
      <c r="E7" s="74" t="s">
        <v>233</v>
      </c>
      <c r="F7" s="74" t="s">
        <v>233</v>
      </c>
      <c r="G7" s="74" t="s">
        <v>233</v>
      </c>
    </row>
    <row r="8" spans="1:7">
      <c r="A8" s="68" t="s">
        <v>40</v>
      </c>
      <c r="B8" s="134" t="s">
        <v>233</v>
      </c>
      <c r="C8" s="75" t="s">
        <v>233</v>
      </c>
      <c r="D8" s="75" t="s">
        <v>233</v>
      </c>
      <c r="E8" s="75" t="s">
        <v>233</v>
      </c>
      <c r="F8" s="75" t="s">
        <v>233</v>
      </c>
      <c r="G8" s="75" t="s">
        <v>233</v>
      </c>
    </row>
    <row r="9" spans="1:7">
      <c r="A9" s="68" t="s">
        <v>41</v>
      </c>
      <c r="B9" s="134" t="s">
        <v>233</v>
      </c>
      <c r="C9" s="75" t="s">
        <v>233</v>
      </c>
      <c r="D9" s="75" t="s">
        <v>233</v>
      </c>
      <c r="E9" s="75" t="s">
        <v>233</v>
      </c>
      <c r="F9" s="75" t="s">
        <v>233</v>
      </c>
      <c r="G9" s="75" t="s">
        <v>233</v>
      </c>
    </row>
    <row r="10" spans="1:7">
      <c r="A10" s="68" t="s">
        <v>1074</v>
      </c>
      <c r="B10" s="134" t="s">
        <v>233</v>
      </c>
      <c r="C10" s="75" t="s">
        <v>233</v>
      </c>
      <c r="D10" s="75" t="s">
        <v>233</v>
      </c>
      <c r="E10" s="75" t="s">
        <v>233</v>
      </c>
      <c r="F10" s="75" t="s">
        <v>233</v>
      </c>
      <c r="G10" s="75" t="s">
        <v>233</v>
      </c>
    </row>
    <row r="11" spans="1:7">
      <c r="A11" s="68" t="s">
        <v>1075</v>
      </c>
      <c r="B11" s="134" t="s">
        <v>233</v>
      </c>
      <c r="C11" s="75" t="s">
        <v>233</v>
      </c>
      <c r="D11" s="75" t="s">
        <v>233</v>
      </c>
      <c r="E11" s="75" t="s">
        <v>233</v>
      </c>
      <c r="F11" s="75" t="s">
        <v>233</v>
      </c>
      <c r="G11" s="75" t="s">
        <v>233</v>
      </c>
    </row>
    <row r="12" spans="1:7">
      <c r="A12" s="68"/>
      <c r="B12" s="134" t="s">
        <v>105</v>
      </c>
      <c r="C12" s="75" t="s">
        <v>105</v>
      </c>
      <c r="D12" s="75" t="s">
        <v>105</v>
      </c>
      <c r="E12" s="75" t="s">
        <v>105</v>
      </c>
      <c r="F12" s="75" t="s">
        <v>105</v>
      </c>
      <c r="G12" s="75" t="s">
        <v>105</v>
      </c>
    </row>
    <row r="13" spans="1:7">
      <c r="A13" s="82" t="s">
        <v>42</v>
      </c>
      <c r="B13" s="134" t="s">
        <v>105</v>
      </c>
      <c r="C13" s="75" t="s">
        <v>105</v>
      </c>
      <c r="D13" s="75" t="s">
        <v>105</v>
      </c>
      <c r="E13" s="75" t="s">
        <v>105</v>
      </c>
      <c r="F13" s="75" t="s">
        <v>105</v>
      </c>
      <c r="G13" s="75" t="s">
        <v>105</v>
      </c>
    </row>
    <row r="14" spans="1:7">
      <c r="A14" s="68"/>
      <c r="B14" s="134" t="s">
        <v>105</v>
      </c>
      <c r="C14" s="75" t="s">
        <v>105</v>
      </c>
      <c r="D14" s="75" t="s">
        <v>105</v>
      </c>
      <c r="E14" s="75" t="s">
        <v>105</v>
      </c>
      <c r="F14" s="75" t="s">
        <v>105</v>
      </c>
      <c r="G14" s="75" t="s">
        <v>105</v>
      </c>
    </row>
    <row r="15" spans="1:7">
      <c r="A15" s="68" t="s">
        <v>43</v>
      </c>
      <c r="B15" s="134" t="s">
        <v>105</v>
      </c>
      <c r="C15" s="75" t="s">
        <v>105</v>
      </c>
      <c r="D15" s="75" t="s">
        <v>105</v>
      </c>
      <c r="E15" s="75" t="s">
        <v>105</v>
      </c>
      <c r="F15" s="75" t="s">
        <v>105</v>
      </c>
      <c r="G15" s="75"/>
    </row>
    <row r="16" spans="1:7">
      <c r="A16" s="68" t="s">
        <v>44</v>
      </c>
      <c r="B16" s="134" t="s">
        <v>105</v>
      </c>
      <c r="C16" s="75" t="s">
        <v>105</v>
      </c>
      <c r="D16" s="75" t="s">
        <v>105</v>
      </c>
      <c r="E16" s="75" t="s">
        <v>105</v>
      </c>
      <c r="F16" s="75" t="s">
        <v>105</v>
      </c>
      <c r="G16" s="75" t="s">
        <v>105</v>
      </c>
    </row>
    <row r="17" spans="1:7">
      <c r="A17" s="68" t="s">
        <v>45</v>
      </c>
      <c r="B17" s="134" t="s">
        <v>233</v>
      </c>
      <c r="C17" s="75" t="s">
        <v>233</v>
      </c>
      <c r="D17" s="75" t="s">
        <v>233</v>
      </c>
      <c r="E17" s="75" t="s">
        <v>233</v>
      </c>
      <c r="F17" s="75" t="s">
        <v>233</v>
      </c>
      <c r="G17" s="75" t="s">
        <v>233</v>
      </c>
    </row>
    <row r="18" spans="1:7">
      <c r="A18" s="68" t="s">
        <v>46</v>
      </c>
      <c r="B18" s="134" t="s">
        <v>233</v>
      </c>
      <c r="C18" s="75" t="s">
        <v>233</v>
      </c>
      <c r="D18" s="75" t="s">
        <v>233</v>
      </c>
      <c r="E18" s="75" t="s">
        <v>233</v>
      </c>
      <c r="F18" s="75" t="s">
        <v>233</v>
      </c>
      <c r="G18" s="75" t="s">
        <v>233</v>
      </c>
    </row>
    <row r="19" spans="1:7">
      <c r="A19" s="82" t="s">
        <v>47</v>
      </c>
      <c r="B19" s="134" t="s">
        <v>233</v>
      </c>
      <c r="C19" s="75" t="s">
        <v>233</v>
      </c>
      <c r="D19" s="75" t="s">
        <v>233</v>
      </c>
      <c r="E19" s="75" t="s">
        <v>233</v>
      </c>
      <c r="F19" s="75" t="s">
        <v>233</v>
      </c>
      <c r="G19" s="75" t="s">
        <v>233</v>
      </c>
    </row>
    <row r="20" spans="1:7">
      <c r="A20" s="68" t="s">
        <v>48</v>
      </c>
      <c r="B20" s="134" t="s">
        <v>105</v>
      </c>
      <c r="C20" s="75" t="s">
        <v>105</v>
      </c>
      <c r="D20" s="75" t="s">
        <v>105</v>
      </c>
      <c r="E20" s="75" t="s">
        <v>105</v>
      </c>
      <c r="F20" s="75" t="s">
        <v>105</v>
      </c>
      <c r="G20" s="75" t="s">
        <v>233</v>
      </c>
    </row>
    <row r="21" spans="1:7">
      <c r="A21" s="68" t="s">
        <v>49</v>
      </c>
      <c r="B21" s="134" t="s">
        <v>233</v>
      </c>
      <c r="C21" s="75" t="s">
        <v>233</v>
      </c>
      <c r="D21" s="75" t="s">
        <v>233</v>
      </c>
      <c r="E21" s="75" t="s">
        <v>233</v>
      </c>
      <c r="F21" s="75" t="s">
        <v>233</v>
      </c>
      <c r="G21" s="75" t="s">
        <v>233</v>
      </c>
    </row>
    <row r="22" spans="1:7">
      <c r="A22" s="68" t="s">
        <v>54</v>
      </c>
      <c r="B22" s="134" t="s">
        <v>233</v>
      </c>
      <c r="C22" s="75" t="s">
        <v>233</v>
      </c>
      <c r="D22" s="75" t="s">
        <v>233</v>
      </c>
      <c r="E22" s="75" t="s">
        <v>233</v>
      </c>
      <c r="F22" s="75" t="s">
        <v>233</v>
      </c>
      <c r="G22" s="75" t="s">
        <v>233</v>
      </c>
    </row>
    <row r="23" spans="1:7">
      <c r="A23" s="68" t="s">
        <v>55</v>
      </c>
      <c r="B23" s="134" t="s">
        <v>233</v>
      </c>
      <c r="C23" s="75" t="s">
        <v>233</v>
      </c>
      <c r="D23" s="75" t="s">
        <v>233</v>
      </c>
      <c r="E23" s="75" t="s">
        <v>233</v>
      </c>
      <c r="F23" s="75" t="s">
        <v>233</v>
      </c>
      <c r="G23" s="75" t="s">
        <v>233</v>
      </c>
    </row>
    <row r="24" spans="1:7">
      <c r="A24" s="82" t="s">
        <v>50</v>
      </c>
      <c r="B24" s="134" t="s">
        <v>233</v>
      </c>
      <c r="C24" s="75" t="s">
        <v>233</v>
      </c>
      <c r="D24" s="75" t="s">
        <v>233</v>
      </c>
      <c r="E24" s="75" t="s">
        <v>233</v>
      </c>
      <c r="F24" s="75" t="s">
        <v>233</v>
      </c>
      <c r="G24" s="75" t="s">
        <v>233</v>
      </c>
    </row>
    <row r="25" spans="1:7" ht="16.5" thickBot="1">
      <c r="A25" s="83" t="s">
        <v>402</v>
      </c>
      <c r="B25" s="135" t="s">
        <v>233</v>
      </c>
      <c r="C25" s="76" t="s">
        <v>233</v>
      </c>
      <c r="D25" s="76" t="s">
        <v>233</v>
      </c>
      <c r="E25" s="76" t="s">
        <v>233</v>
      </c>
      <c r="F25" s="76" t="s">
        <v>233</v>
      </c>
      <c r="G25" s="79" t="s">
        <v>233</v>
      </c>
    </row>
    <row r="26" spans="1:7" ht="16.5" thickBot="1">
      <c r="A26" s="65" t="s">
        <v>56</v>
      </c>
      <c r="B26" s="136" t="s">
        <v>233</v>
      </c>
      <c r="C26" s="77" t="s">
        <v>233</v>
      </c>
      <c r="D26" s="77" t="s">
        <v>233</v>
      </c>
      <c r="E26" s="77" t="s">
        <v>233</v>
      </c>
      <c r="F26" s="77" t="s">
        <v>233</v>
      </c>
      <c r="G26" s="132" t="s">
        <v>233</v>
      </c>
    </row>
    <row r="27" spans="1:7">
      <c r="A27" s="72"/>
      <c r="B27" s="63"/>
      <c r="C27" s="63"/>
      <c r="D27" s="63"/>
      <c r="E27" s="63"/>
      <c r="F27" s="63"/>
      <c r="G27" s="63"/>
    </row>
    <row r="28" spans="1:7" ht="18">
      <c r="A28" s="84" t="s">
        <v>494</v>
      </c>
      <c r="B28" s="63" t="s">
        <v>105</v>
      </c>
      <c r="C28" s="63" t="s">
        <v>105</v>
      </c>
      <c r="D28" s="63" t="s">
        <v>105</v>
      </c>
      <c r="E28" s="63" t="s">
        <v>105</v>
      </c>
      <c r="F28" s="63" t="s">
        <v>105</v>
      </c>
      <c r="G28" s="63" t="s">
        <v>105</v>
      </c>
    </row>
    <row r="29" spans="1:7">
      <c r="A29" s="52" t="s">
        <v>403</v>
      </c>
      <c r="B29" s="63" t="s">
        <v>105</v>
      </c>
      <c r="C29" s="63" t="s">
        <v>105</v>
      </c>
      <c r="D29" s="63" t="s">
        <v>105</v>
      </c>
      <c r="E29" s="63" t="s">
        <v>105</v>
      </c>
      <c r="F29" s="63" t="s">
        <v>105</v>
      </c>
      <c r="G29" s="63" t="s">
        <v>105</v>
      </c>
    </row>
    <row r="30" spans="1:7">
      <c r="A30" s="52" t="s">
        <v>495</v>
      </c>
      <c r="B30" s="63" t="s">
        <v>105</v>
      </c>
      <c r="C30" s="63" t="s">
        <v>105</v>
      </c>
      <c r="D30" s="63" t="s">
        <v>105</v>
      </c>
      <c r="E30" s="63" t="s">
        <v>105</v>
      </c>
      <c r="F30" s="63" t="s">
        <v>105</v>
      </c>
      <c r="G30" s="63" t="s">
        <v>105</v>
      </c>
    </row>
    <row r="31" spans="1:7">
      <c r="A31" s="52" t="s">
        <v>72</v>
      </c>
      <c r="B31" s="63" t="s">
        <v>105</v>
      </c>
      <c r="C31" s="63" t="s">
        <v>105</v>
      </c>
      <c r="D31" s="63" t="s">
        <v>105</v>
      </c>
      <c r="E31" s="63" t="s">
        <v>234</v>
      </c>
      <c r="F31" s="63" t="s">
        <v>105</v>
      </c>
      <c r="G31" s="63" t="s">
        <v>105</v>
      </c>
    </row>
    <row r="32" spans="1:7">
      <c r="A32" s="52" t="s">
        <v>73</v>
      </c>
      <c r="B32" s="63" t="s">
        <v>105</v>
      </c>
      <c r="C32" s="63" t="s">
        <v>105</v>
      </c>
      <c r="D32" s="63" t="s">
        <v>105</v>
      </c>
      <c r="E32" s="63" t="s">
        <v>105</v>
      </c>
      <c r="F32" s="63" t="s">
        <v>105</v>
      </c>
      <c r="G32" s="63" t="s">
        <v>105</v>
      </c>
    </row>
    <row r="33" spans="1:7">
      <c r="A33" s="52" t="s">
        <v>74</v>
      </c>
      <c r="B33" s="63" t="s">
        <v>105</v>
      </c>
      <c r="C33" s="63" t="s">
        <v>105</v>
      </c>
      <c r="D33" s="63" t="s">
        <v>105</v>
      </c>
      <c r="E33" s="63" t="s">
        <v>105</v>
      </c>
      <c r="F33" s="63" t="s">
        <v>105</v>
      </c>
      <c r="G33" s="63" t="s">
        <v>105</v>
      </c>
    </row>
    <row r="35" spans="1:7">
      <c r="A35" s="556" t="s">
        <v>802</v>
      </c>
      <c r="B35" s="556"/>
      <c r="C35" s="556"/>
      <c r="D35" s="556"/>
      <c r="E35" s="556"/>
      <c r="F35" s="556"/>
      <c r="G35" s="556"/>
    </row>
  </sheetData>
  <mergeCells count="4">
    <mergeCell ref="A35:G35"/>
    <mergeCell ref="F5:G5"/>
    <mergeCell ref="B5:E5"/>
    <mergeCell ref="A2:G2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27"/>
  <sheetViews>
    <sheetView view="pageBreakPreview" zoomScale="70" zoomScaleSheetLayoutView="70" workbookViewId="0">
      <pane xSplit="2" ySplit="8" topLeftCell="C342" activePane="bottomRight" state="frozen"/>
      <selection pane="topRight" activeCell="C1" sqref="C1"/>
      <selection pane="bottomLeft" activeCell="A9" sqref="A9"/>
      <selection pane="bottomRight" activeCell="K358" sqref="K358"/>
    </sheetView>
  </sheetViews>
  <sheetFormatPr defaultColWidth="9.140625" defaultRowHeight="15.75"/>
  <cols>
    <col min="1" max="1" width="3.5703125" style="273" customWidth="1"/>
    <col min="2" max="2" width="66.85546875" style="317" customWidth="1"/>
    <col min="3" max="3" width="18.85546875" style="478" customWidth="1"/>
    <col min="4" max="4" width="20" style="209" bestFit="1" customWidth="1"/>
    <col min="5" max="5" width="0.5703125" style="209" customWidth="1"/>
    <col min="6" max="6" width="4.140625" style="209" customWidth="1"/>
    <col min="7" max="7" width="66.7109375" style="317" customWidth="1"/>
    <col min="8" max="9" width="20" style="478" bestFit="1" customWidth="1"/>
    <col min="10" max="10" width="14" style="209" customWidth="1"/>
    <col min="11" max="12" width="15.28515625" style="209" bestFit="1" customWidth="1"/>
    <col min="13" max="16384" width="9.140625" style="209"/>
  </cols>
  <sheetData>
    <row r="1" spans="1:9" ht="16.5" thickBot="1">
      <c r="A1" s="316"/>
      <c r="D1" s="209">
        <f>+C347-H347</f>
        <v>0</v>
      </c>
    </row>
    <row r="2" spans="1:9" ht="15.75" customHeight="1">
      <c r="A2" s="572" t="s">
        <v>370</v>
      </c>
      <c r="B2" s="573"/>
      <c r="C2" s="573"/>
      <c r="D2" s="573"/>
      <c r="E2" s="573"/>
      <c r="F2" s="573"/>
      <c r="G2" s="573"/>
      <c r="H2" s="573"/>
      <c r="I2" s="574"/>
    </row>
    <row r="3" spans="1:9">
      <c r="A3" s="575"/>
      <c r="B3" s="571"/>
      <c r="C3" s="571"/>
      <c r="D3" s="571"/>
      <c r="E3" s="571"/>
      <c r="F3" s="571"/>
      <c r="G3" s="571"/>
      <c r="H3" s="571"/>
      <c r="I3" s="576"/>
    </row>
    <row r="4" spans="1:9" ht="16.5" thickBot="1">
      <c r="A4" s="577"/>
      <c r="B4" s="578"/>
      <c r="C4" s="578"/>
      <c r="D4" s="578"/>
      <c r="E4" s="578"/>
      <c r="F4" s="578"/>
      <c r="G4" s="578"/>
      <c r="H4" s="578"/>
      <c r="I4" s="579"/>
    </row>
    <row r="5" spans="1:9" ht="15.75" customHeight="1">
      <c r="A5" s="572" t="s">
        <v>1115</v>
      </c>
      <c r="B5" s="573"/>
      <c r="C5" s="573"/>
      <c r="D5" s="573"/>
      <c r="E5" s="573"/>
      <c r="F5" s="573"/>
      <c r="G5" s="573"/>
      <c r="H5" s="573"/>
      <c r="I5" s="574"/>
    </row>
    <row r="6" spans="1:9">
      <c r="A6" s="575"/>
      <c r="B6" s="571"/>
      <c r="C6" s="571"/>
      <c r="D6" s="571"/>
      <c r="E6" s="571"/>
      <c r="F6" s="571"/>
      <c r="G6" s="571"/>
      <c r="H6" s="571"/>
      <c r="I6" s="576"/>
    </row>
    <row r="7" spans="1:9" ht="16.5" thickBot="1">
      <c r="A7" s="577"/>
      <c r="B7" s="578"/>
      <c r="C7" s="578"/>
      <c r="D7" s="578"/>
      <c r="E7" s="578"/>
      <c r="F7" s="578"/>
      <c r="G7" s="578"/>
      <c r="H7" s="578"/>
      <c r="I7" s="579"/>
    </row>
    <row r="8" spans="1:9" ht="16.5" thickBot="1">
      <c r="A8" s="580" t="s">
        <v>228</v>
      </c>
      <c r="B8" s="581"/>
      <c r="C8" s="224" t="s">
        <v>409</v>
      </c>
      <c r="D8" s="224" t="s">
        <v>410</v>
      </c>
      <c r="E8" s="541"/>
      <c r="F8" s="580" t="s">
        <v>229</v>
      </c>
      <c r="G8" s="581"/>
      <c r="H8" s="254" t="s">
        <v>409</v>
      </c>
      <c r="I8" s="224" t="s">
        <v>410</v>
      </c>
    </row>
    <row r="9" spans="1:9">
      <c r="A9" s="481" t="s">
        <v>1154</v>
      </c>
      <c r="B9" s="489" t="s">
        <v>1155</v>
      </c>
      <c r="C9" s="225"/>
      <c r="D9" s="240"/>
      <c r="E9" s="464"/>
      <c r="F9" s="481" t="s">
        <v>1154</v>
      </c>
      <c r="G9" s="481" t="s">
        <v>327</v>
      </c>
      <c r="H9" s="225"/>
      <c r="I9" s="225"/>
    </row>
    <row r="10" spans="1:9">
      <c r="A10" s="482"/>
      <c r="B10" s="326" t="s">
        <v>511</v>
      </c>
      <c r="C10" s="226"/>
      <c r="D10" s="241"/>
      <c r="E10" s="464"/>
      <c r="F10" s="490"/>
      <c r="G10" s="318" t="s">
        <v>461</v>
      </c>
      <c r="H10" s="226"/>
      <c r="I10" s="226"/>
    </row>
    <row r="11" spans="1:9">
      <c r="A11" s="482"/>
      <c r="B11" s="320" t="s">
        <v>669</v>
      </c>
      <c r="C11" s="226">
        <v>259</v>
      </c>
      <c r="D11" s="241">
        <v>259</v>
      </c>
      <c r="E11" s="464"/>
      <c r="F11" s="482"/>
      <c r="G11" s="204" t="s">
        <v>689</v>
      </c>
      <c r="H11" s="226">
        <f>677034252+8942231+12808</f>
        <v>685989291</v>
      </c>
      <c r="I11" s="226">
        <f>555977198+6671309</f>
        <v>562648507</v>
      </c>
    </row>
    <row r="12" spans="1:9">
      <c r="A12" s="482"/>
      <c r="B12" s="320" t="s">
        <v>667</v>
      </c>
      <c r="C12" s="226">
        <v>431</v>
      </c>
      <c r="D12" s="241">
        <v>45841</v>
      </c>
      <c r="E12" s="464"/>
      <c r="F12" s="482"/>
      <c r="G12" s="204" t="s">
        <v>690</v>
      </c>
      <c r="H12" s="226">
        <v>528400</v>
      </c>
      <c r="I12" s="226">
        <v>283900</v>
      </c>
    </row>
    <row r="13" spans="1:9">
      <c r="A13" s="482"/>
      <c r="B13" s="320" t="s">
        <v>359</v>
      </c>
      <c r="C13" s="226">
        <v>30000</v>
      </c>
      <c r="D13" s="241">
        <v>30000</v>
      </c>
      <c r="E13" s="464"/>
      <c r="F13" s="482"/>
      <c r="G13" s="204" t="s">
        <v>4</v>
      </c>
      <c r="H13" s="226">
        <f>3410651</f>
        <v>3410651</v>
      </c>
      <c r="I13" s="226">
        <f>3130058+147170</f>
        <v>3277228</v>
      </c>
    </row>
    <row r="14" spans="1:9">
      <c r="A14" s="482"/>
      <c r="B14" s="320" t="s">
        <v>300</v>
      </c>
      <c r="C14" s="226">
        <v>1248</v>
      </c>
      <c r="D14" s="219" t="s">
        <v>233</v>
      </c>
      <c r="E14" s="464"/>
      <c r="F14" s="482"/>
      <c r="G14" s="204" t="s">
        <v>5</v>
      </c>
      <c r="H14" s="226">
        <f>24479256+1726004</f>
        <v>26205260</v>
      </c>
      <c r="I14" s="226">
        <f>17423532+78848</f>
        <v>17502380</v>
      </c>
    </row>
    <row r="15" spans="1:9">
      <c r="A15" s="482"/>
      <c r="B15" s="241" t="s">
        <v>668</v>
      </c>
      <c r="C15" s="226">
        <v>11577</v>
      </c>
      <c r="D15" s="219" t="s">
        <v>233</v>
      </c>
      <c r="E15" s="464"/>
      <c r="F15" s="482"/>
      <c r="G15" s="204" t="s">
        <v>691</v>
      </c>
      <c r="H15" s="226">
        <f>77581248</f>
        <v>77581248</v>
      </c>
      <c r="I15" s="226">
        <f>65775698</f>
        <v>65775698</v>
      </c>
    </row>
    <row r="16" spans="1:9">
      <c r="A16" s="482"/>
      <c r="B16" s="241" t="s">
        <v>735</v>
      </c>
      <c r="C16" s="226">
        <v>98000</v>
      </c>
      <c r="D16" s="241">
        <v>80500</v>
      </c>
      <c r="E16" s="464"/>
      <c r="F16" s="482"/>
      <c r="G16" s="204" t="s">
        <v>362</v>
      </c>
      <c r="H16" s="226">
        <f>34218144</f>
        <v>34218144</v>
      </c>
      <c r="I16" s="226">
        <f>28342829</f>
        <v>28342829</v>
      </c>
    </row>
    <row r="17" spans="1:9">
      <c r="A17" s="482"/>
      <c r="B17" s="320"/>
      <c r="C17" s="226"/>
      <c r="D17" s="241"/>
      <c r="E17" s="464"/>
      <c r="F17" s="482"/>
      <c r="G17" s="204" t="s">
        <v>953</v>
      </c>
      <c r="H17" s="226">
        <f>13676770</f>
        <v>13676770</v>
      </c>
      <c r="I17" s="226">
        <f>11155794</f>
        <v>11155794</v>
      </c>
    </row>
    <row r="18" spans="1:9">
      <c r="A18" s="482"/>
      <c r="B18" s="326" t="s">
        <v>664</v>
      </c>
      <c r="C18" s="226"/>
      <c r="D18" s="241"/>
      <c r="E18" s="464"/>
      <c r="F18" s="482"/>
      <c r="G18" s="204"/>
      <c r="H18" s="226"/>
      <c r="I18" s="226"/>
    </row>
    <row r="19" spans="1:9">
      <c r="A19" s="482"/>
      <c r="B19" s="320" t="s">
        <v>1425</v>
      </c>
      <c r="C19" s="226">
        <v>56276995.990000002</v>
      </c>
      <c r="D19" s="241">
        <v>247010630.99000001</v>
      </c>
      <c r="E19" s="464"/>
      <c r="F19" s="482"/>
      <c r="G19" s="318" t="s">
        <v>462</v>
      </c>
      <c r="H19" s="226"/>
      <c r="I19" s="226"/>
    </row>
    <row r="20" spans="1:9">
      <c r="A20" s="482"/>
      <c r="B20" s="320" t="s">
        <v>1364</v>
      </c>
      <c r="C20" s="226">
        <v>266724144</v>
      </c>
      <c r="D20" s="241">
        <f>180000000+28000000+15000000+17500000-500000</f>
        <v>240000000</v>
      </c>
      <c r="E20" s="464"/>
      <c r="F20" s="482"/>
      <c r="G20" s="204" t="s">
        <v>1225</v>
      </c>
      <c r="H20" s="226">
        <v>2943998</v>
      </c>
      <c r="I20" s="226">
        <v>3194127</v>
      </c>
    </row>
    <row r="21" spans="1:9">
      <c r="A21" s="482"/>
      <c r="B21" s="320" t="s">
        <v>671</v>
      </c>
      <c r="C21" s="226">
        <v>897.37</v>
      </c>
      <c r="D21" s="241">
        <v>897.37</v>
      </c>
      <c r="E21" s="464"/>
      <c r="F21" s="482"/>
      <c r="G21" s="204" t="s">
        <v>1226</v>
      </c>
      <c r="H21" s="226">
        <f>36699207</f>
        <v>36699207</v>
      </c>
      <c r="I21" s="226">
        <f>28475413</f>
        <v>28475413</v>
      </c>
    </row>
    <row r="22" spans="1:9">
      <c r="A22" s="482"/>
      <c r="B22" s="320" t="s">
        <v>670</v>
      </c>
      <c r="C22" s="226">
        <v>897132</v>
      </c>
      <c r="D22" s="241">
        <v>500000</v>
      </c>
      <c r="E22" s="464"/>
      <c r="F22" s="482"/>
      <c r="G22" s="204" t="s">
        <v>1227</v>
      </c>
      <c r="H22" s="226">
        <f>1814670</f>
        <v>1814670</v>
      </c>
      <c r="I22" s="226">
        <f>1670939</f>
        <v>1670939</v>
      </c>
    </row>
    <row r="23" spans="1:9">
      <c r="A23" s="482"/>
      <c r="B23" s="204" t="s">
        <v>1424</v>
      </c>
      <c r="C23" s="226">
        <v>249773</v>
      </c>
      <c r="D23" s="241">
        <f>2053496-1</f>
        <v>2053495</v>
      </c>
      <c r="E23" s="464"/>
      <c r="F23" s="482"/>
      <c r="G23" s="204" t="s">
        <v>1228</v>
      </c>
      <c r="H23" s="226">
        <f>7456804</f>
        <v>7456804</v>
      </c>
      <c r="I23" s="226">
        <f>4124604</f>
        <v>4124604</v>
      </c>
    </row>
    <row r="24" spans="1:9">
      <c r="A24" s="482"/>
      <c r="B24" s="320" t="s">
        <v>1143</v>
      </c>
      <c r="C24" s="226">
        <v>500000</v>
      </c>
      <c r="D24" s="241">
        <v>500000</v>
      </c>
      <c r="E24" s="464"/>
      <c r="F24" s="482"/>
      <c r="G24" s="204" t="s">
        <v>1229</v>
      </c>
      <c r="H24" s="226">
        <f>5004968+918681</f>
        <v>5923649</v>
      </c>
      <c r="I24" s="226">
        <f>4918061</f>
        <v>4918061</v>
      </c>
    </row>
    <row r="25" spans="1:9">
      <c r="A25" s="482"/>
      <c r="B25" s="320" t="s">
        <v>1365</v>
      </c>
      <c r="C25" s="226">
        <v>1993</v>
      </c>
      <c r="D25" s="241">
        <v>228451</v>
      </c>
      <c r="E25" s="464"/>
      <c r="F25" s="482"/>
      <c r="G25" s="204" t="s">
        <v>1230</v>
      </c>
      <c r="H25" s="226">
        <f>10712419</f>
        <v>10712419</v>
      </c>
      <c r="I25" s="226">
        <v>6454404</v>
      </c>
    </row>
    <row r="26" spans="1:9">
      <c r="A26" s="482"/>
      <c r="B26" s="320" t="s">
        <v>1426</v>
      </c>
      <c r="C26" s="226">
        <v>3097623</v>
      </c>
      <c r="D26" s="241">
        <v>2503257</v>
      </c>
      <c r="E26" s="464"/>
      <c r="F26" s="482"/>
      <c r="G26" s="204" t="s">
        <v>1231</v>
      </c>
      <c r="H26" s="226">
        <v>5813383</v>
      </c>
      <c r="I26" s="226">
        <v>6845692</v>
      </c>
    </row>
    <row r="27" spans="1:9">
      <c r="A27" s="482"/>
      <c r="B27" s="320" t="s">
        <v>1427</v>
      </c>
      <c r="C27" s="226">
        <f>573147-40000</f>
        <v>533147</v>
      </c>
      <c r="D27" s="241">
        <v>1476254</v>
      </c>
      <c r="E27" s="464"/>
      <c r="F27" s="482"/>
      <c r="G27" s="204" t="s">
        <v>1232</v>
      </c>
      <c r="H27" s="226">
        <f>2133031+28532</f>
        <v>2161563</v>
      </c>
      <c r="I27" s="226">
        <v>3345735</v>
      </c>
    </row>
    <row r="28" spans="1:9">
      <c r="A28" s="482"/>
      <c r="B28" s="320" t="s">
        <v>1384</v>
      </c>
      <c r="C28" s="219" t="s">
        <v>233</v>
      </c>
      <c r="D28" s="241">
        <v>102994</v>
      </c>
      <c r="E28" s="464"/>
      <c r="F28" s="482"/>
      <c r="G28" s="204" t="s">
        <v>1233</v>
      </c>
      <c r="H28" s="226">
        <v>1684420</v>
      </c>
      <c r="I28" s="226">
        <f>2746224</f>
        <v>2746224</v>
      </c>
    </row>
    <row r="29" spans="1:9">
      <c r="A29" s="482"/>
      <c r="B29" s="204" t="s">
        <v>1428</v>
      </c>
      <c r="C29" s="226">
        <v>18790964</v>
      </c>
      <c r="D29" s="241">
        <v>14833892</v>
      </c>
      <c r="E29" s="464"/>
      <c r="F29" s="482"/>
      <c r="G29" s="204" t="s">
        <v>1234</v>
      </c>
      <c r="H29" s="226">
        <v>183035</v>
      </c>
      <c r="I29" s="226">
        <v>209514</v>
      </c>
    </row>
    <row r="30" spans="1:9">
      <c r="A30" s="482"/>
      <c r="B30" s="204" t="s">
        <v>1429</v>
      </c>
      <c r="C30" s="226">
        <v>125500</v>
      </c>
      <c r="D30" s="241">
        <v>249600</v>
      </c>
      <c r="E30" s="464"/>
      <c r="F30" s="482"/>
      <c r="G30" s="204" t="s">
        <v>1235</v>
      </c>
      <c r="H30" s="226">
        <f>967134</f>
        <v>967134</v>
      </c>
      <c r="I30" s="226">
        <f>1102870</f>
        <v>1102870</v>
      </c>
    </row>
    <row r="31" spans="1:9">
      <c r="A31" s="482"/>
      <c r="B31" s="320" t="s">
        <v>1430</v>
      </c>
      <c r="C31" s="226">
        <v>2571773</v>
      </c>
      <c r="D31" s="241">
        <v>1977661</v>
      </c>
      <c r="E31" s="464"/>
      <c r="F31" s="482"/>
      <c r="G31" s="204" t="s">
        <v>1236</v>
      </c>
      <c r="H31" s="226">
        <f>353354</f>
        <v>353354</v>
      </c>
      <c r="I31" s="226">
        <v>686709</v>
      </c>
    </row>
    <row r="32" spans="1:9">
      <c r="A32" s="482"/>
      <c r="B32" s="320" t="s">
        <v>1432</v>
      </c>
      <c r="C32" s="226">
        <v>8083682</v>
      </c>
      <c r="D32" s="241">
        <v>6438664</v>
      </c>
      <c r="E32" s="464"/>
      <c r="F32" s="482"/>
      <c r="G32" s="204" t="s">
        <v>1237</v>
      </c>
      <c r="H32" s="226">
        <f>14934200+3930901</f>
        <v>18865101</v>
      </c>
      <c r="I32" s="226">
        <f>10154351+2483453</f>
        <v>12637804</v>
      </c>
    </row>
    <row r="33" spans="1:9">
      <c r="A33" s="482"/>
      <c r="B33" s="320" t="s">
        <v>1433</v>
      </c>
      <c r="C33" s="226">
        <v>5804055</v>
      </c>
      <c r="D33" s="241">
        <v>4375256</v>
      </c>
      <c r="E33" s="464"/>
      <c r="F33" s="482"/>
      <c r="G33" s="204" t="s">
        <v>1238</v>
      </c>
      <c r="H33" s="226">
        <v>385631</v>
      </c>
      <c r="I33" s="226">
        <v>282738</v>
      </c>
    </row>
    <row r="34" spans="1:9">
      <c r="A34" s="482"/>
      <c r="B34" s="204" t="s">
        <v>1434</v>
      </c>
      <c r="C34" s="226">
        <v>226577</v>
      </c>
      <c r="D34" s="241">
        <v>193016</v>
      </c>
      <c r="E34" s="464"/>
      <c r="F34" s="482"/>
      <c r="G34" s="204" t="s">
        <v>1239</v>
      </c>
      <c r="H34" s="226">
        <v>30946</v>
      </c>
      <c r="I34" s="226">
        <v>202720</v>
      </c>
    </row>
    <row r="35" spans="1:9">
      <c r="A35" s="482"/>
      <c r="B35" s="320" t="s">
        <v>1385</v>
      </c>
      <c r="C35" s="226">
        <v>853389.5</v>
      </c>
      <c r="D35" s="241">
        <v>166614.5</v>
      </c>
      <c r="E35" s="464"/>
      <c r="F35" s="482"/>
      <c r="G35" s="204" t="s">
        <v>1240</v>
      </c>
      <c r="H35" s="219" t="s">
        <v>233</v>
      </c>
      <c r="I35" s="226">
        <v>122527</v>
      </c>
    </row>
    <row r="36" spans="1:9">
      <c r="A36" s="482"/>
      <c r="B36" s="320" t="s">
        <v>672</v>
      </c>
      <c r="C36" s="226"/>
      <c r="D36" s="241"/>
      <c r="E36" s="464"/>
      <c r="F36" s="482"/>
      <c r="G36" s="204" t="s">
        <v>1241</v>
      </c>
      <c r="H36" s="219" t="s">
        <v>233</v>
      </c>
      <c r="I36" s="219" t="s">
        <v>233</v>
      </c>
    </row>
    <row r="37" spans="1:9">
      <c r="A37" s="482"/>
      <c r="B37" s="320" t="s">
        <v>1386</v>
      </c>
      <c r="C37" s="226">
        <v>13973</v>
      </c>
      <c r="D37" s="241">
        <v>13431</v>
      </c>
      <c r="E37" s="464"/>
      <c r="F37" s="482"/>
      <c r="G37" s="204" t="s">
        <v>694</v>
      </c>
      <c r="H37" s="226">
        <v>169140</v>
      </c>
      <c r="I37" s="226">
        <v>213000</v>
      </c>
    </row>
    <row r="38" spans="1:9">
      <c r="A38" s="482"/>
      <c r="B38" s="320" t="s">
        <v>1387</v>
      </c>
      <c r="C38" s="226"/>
      <c r="D38" s="241"/>
      <c r="E38" s="464"/>
      <c r="F38" s="482"/>
      <c r="G38" s="204" t="s">
        <v>1242</v>
      </c>
      <c r="H38" s="226">
        <f>154657352+415403</f>
        <v>155072755</v>
      </c>
      <c r="I38" s="226">
        <f>107624048+760301</f>
        <v>108384349</v>
      </c>
    </row>
    <row r="39" spans="1:9">
      <c r="A39" s="482"/>
      <c r="B39" s="241" t="s">
        <v>1436</v>
      </c>
      <c r="C39" s="226">
        <v>52397</v>
      </c>
      <c r="D39" s="219" t="s">
        <v>233</v>
      </c>
      <c r="E39" s="464"/>
      <c r="F39" s="482"/>
      <c r="G39" s="204" t="s">
        <v>1243</v>
      </c>
      <c r="H39" s="219" t="s">
        <v>233</v>
      </c>
      <c r="I39" s="226">
        <f>217800+1644170</f>
        <v>1861970</v>
      </c>
    </row>
    <row r="40" spans="1:9">
      <c r="A40" s="249"/>
      <c r="B40" s="241" t="s">
        <v>1437</v>
      </c>
      <c r="C40" s="226">
        <f>1112668+40000</f>
        <v>1152668</v>
      </c>
      <c r="D40" s="241">
        <v>279598</v>
      </c>
      <c r="E40" s="464"/>
      <c r="F40" s="482"/>
      <c r="G40" s="204" t="s">
        <v>1244</v>
      </c>
      <c r="H40" s="226">
        <v>291579</v>
      </c>
      <c r="I40" s="226">
        <v>495743</v>
      </c>
    </row>
    <row r="41" spans="1:9">
      <c r="A41" s="482"/>
      <c r="B41" s="204" t="s">
        <v>1423</v>
      </c>
      <c r="C41" s="226">
        <v>184223</v>
      </c>
      <c r="D41" s="241">
        <v>191277</v>
      </c>
      <c r="E41" s="464"/>
      <c r="F41" s="482"/>
      <c r="G41" s="204" t="s">
        <v>1245</v>
      </c>
      <c r="H41" s="219" t="s">
        <v>233</v>
      </c>
      <c r="I41" s="226">
        <v>174105</v>
      </c>
    </row>
    <row r="42" spans="1:9">
      <c r="A42" s="482"/>
      <c r="B42" s="320" t="s">
        <v>1369</v>
      </c>
      <c r="C42" s="226">
        <v>1139</v>
      </c>
      <c r="D42" s="241">
        <v>1097</v>
      </c>
      <c r="E42" s="464"/>
      <c r="F42" s="482"/>
      <c r="G42" s="204" t="s">
        <v>824</v>
      </c>
      <c r="H42" s="226">
        <f>13700530+30157</f>
        <v>13730687</v>
      </c>
      <c r="I42" s="226">
        <f>10826811+1202979</f>
        <v>12029790</v>
      </c>
    </row>
    <row r="43" spans="1:9">
      <c r="A43" s="482"/>
      <c r="B43" s="320" t="s">
        <v>1388</v>
      </c>
      <c r="C43" s="226"/>
      <c r="D43" s="241"/>
      <c r="E43" s="464"/>
      <c r="F43" s="482"/>
      <c r="G43" s="204" t="s">
        <v>823</v>
      </c>
      <c r="H43" s="226">
        <v>6493658</v>
      </c>
      <c r="I43" s="226">
        <v>4772573</v>
      </c>
    </row>
    <row r="44" spans="1:9">
      <c r="A44" s="482"/>
      <c r="B44" s="320" t="s">
        <v>1389</v>
      </c>
      <c r="C44" s="226">
        <v>1570905</v>
      </c>
      <c r="D44" s="241">
        <v>476662</v>
      </c>
      <c r="E44" s="464"/>
      <c r="F44" s="482"/>
      <c r="G44" s="204" t="s">
        <v>1246</v>
      </c>
      <c r="H44" s="219" t="s">
        <v>233</v>
      </c>
      <c r="I44" s="226">
        <v>3488</v>
      </c>
    </row>
    <row r="45" spans="1:9">
      <c r="A45" s="482"/>
      <c r="B45" s="320" t="s">
        <v>1390</v>
      </c>
      <c r="C45" s="226">
        <v>6909741</v>
      </c>
      <c r="D45" s="241">
        <v>6293863</v>
      </c>
      <c r="E45" s="464"/>
      <c r="F45" s="482"/>
      <c r="G45" s="204" t="s">
        <v>822</v>
      </c>
      <c r="H45" s="226">
        <v>44913</v>
      </c>
      <c r="I45" s="226">
        <v>79323</v>
      </c>
    </row>
    <row r="46" spans="1:9">
      <c r="A46" s="249"/>
      <c r="B46" s="320" t="s">
        <v>1391</v>
      </c>
      <c r="C46" s="226">
        <v>377500</v>
      </c>
      <c r="D46" s="241">
        <v>377500</v>
      </c>
      <c r="E46" s="464"/>
      <c r="F46" s="482"/>
      <c r="G46" s="204" t="s">
        <v>1247</v>
      </c>
      <c r="H46" s="226">
        <v>748479</v>
      </c>
      <c r="I46" s="226">
        <v>701384</v>
      </c>
    </row>
    <row r="47" spans="1:9">
      <c r="A47" s="249"/>
      <c r="B47" s="320" t="s">
        <v>1145</v>
      </c>
      <c r="C47" s="226">
        <v>22209</v>
      </c>
      <c r="D47" s="241">
        <v>24564</v>
      </c>
      <c r="E47" s="464"/>
      <c r="F47" s="482"/>
      <c r="G47" s="204" t="s">
        <v>1248</v>
      </c>
      <c r="H47" s="226">
        <v>7708946</v>
      </c>
      <c r="I47" s="226">
        <v>3822512</v>
      </c>
    </row>
    <row r="48" spans="1:9">
      <c r="A48" s="249"/>
      <c r="B48" s="320" t="s">
        <v>1373</v>
      </c>
      <c r="C48" s="226">
        <v>8357912</v>
      </c>
      <c r="D48" s="241">
        <v>23452360</v>
      </c>
      <c r="E48" s="464"/>
      <c r="F48" s="482"/>
      <c r="G48" s="204" t="s">
        <v>693</v>
      </c>
      <c r="H48" s="226">
        <f>2290782</f>
        <v>2290782</v>
      </c>
      <c r="I48" s="226">
        <v>1988814</v>
      </c>
    </row>
    <row r="49" spans="1:13">
      <c r="A49" s="249"/>
      <c r="B49" s="320" t="s">
        <v>1374</v>
      </c>
      <c r="C49" s="226">
        <v>1887467</v>
      </c>
      <c r="D49" s="241">
        <v>4402423</v>
      </c>
      <c r="E49" s="464"/>
      <c r="F49" s="482"/>
      <c r="G49" s="204" t="s">
        <v>1249</v>
      </c>
      <c r="H49" s="226">
        <f>12659165+1063699</f>
        <v>13722864</v>
      </c>
      <c r="I49" s="226">
        <f>11917204+1117729</f>
        <v>13034933</v>
      </c>
    </row>
    <row r="50" spans="1:13">
      <c r="A50" s="249"/>
      <c r="B50" s="320" t="s">
        <v>1375</v>
      </c>
      <c r="C50" s="226">
        <v>52188</v>
      </c>
      <c r="D50" s="241">
        <v>158119</v>
      </c>
      <c r="E50" s="464"/>
      <c r="F50" s="482"/>
      <c r="G50" s="204" t="s">
        <v>692</v>
      </c>
      <c r="H50" s="226">
        <v>914499</v>
      </c>
      <c r="I50" s="226">
        <v>219563</v>
      </c>
    </row>
    <row r="51" spans="1:13">
      <c r="A51" s="249"/>
      <c r="B51" s="320" t="s">
        <v>1376</v>
      </c>
      <c r="C51" s="226">
        <v>666100</v>
      </c>
      <c r="D51" s="241">
        <v>134896</v>
      </c>
      <c r="E51" s="464"/>
      <c r="F51" s="482"/>
      <c r="G51" s="204" t="s">
        <v>1250</v>
      </c>
      <c r="H51" s="226">
        <v>7474</v>
      </c>
      <c r="I51" s="226">
        <v>11328</v>
      </c>
    </row>
    <row r="52" spans="1:13" ht="16.5" thickBot="1">
      <c r="A52" s="249"/>
      <c r="B52" s="320" t="s">
        <v>1377</v>
      </c>
      <c r="C52" s="226">
        <v>194571</v>
      </c>
      <c r="D52" s="219" t="s">
        <v>233</v>
      </c>
      <c r="E52" s="464"/>
      <c r="F52" s="482"/>
      <c r="G52" s="204" t="s">
        <v>1251</v>
      </c>
      <c r="H52" s="226">
        <v>692818</v>
      </c>
      <c r="I52" s="226">
        <v>570678</v>
      </c>
    </row>
    <row r="53" spans="1:13">
      <c r="A53" s="252"/>
      <c r="B53" s="320" t="s">
        <v>1378</v>
      </c>
      <c r="C53" s="226">
        <v>60000</v>
      </c>
      <c r="D53" s="219" t="s">
        <v>233</v>
      </c>
      <c r="E53" s="464"/>
      <c r="F53" s="486"/>
      <c r="G53" s="204" t="s">
        <v>1252</v>
      </c>
      <c r="H53" s="219" t="s">
        <v>233</v>
      </c>
      <c r="I53" s="226">
        <v>3626053</v>
      </c>
      <c r="M53" s="346"/>
    </row>
    <row r="54" spans="1:13">
      <c r="A54" s="252"/>
      <c r="B54" s="320" t="s">
        <v>1379</v>
      </c>
      <c r="C54" s="219" t="s">
        <v>233</v>
      </c>
      <c r="D54" s="219" t="s">
        <v>233</v>
      </c>
      <c r="E54" s="464"/>
      <c r="F54" s="486"/>
      <c r="G54" s="204" t="s">
        <v>1253</v>
      </c>
      <c r="H54" s="226">
        <v>171290</v>
      </c>
      <c r="I54" s="226">
        <v>138100</v>
      </c>
    </row>
    <row r="55" spans="1:13">
      <c r="A55" s="252"/>
      <c r="B55" s="320" t="s">
        <v>1380</v>
      </c>
      <c r="C55" s="219" t="s">
        <v>233</v>
      </c>
      <c r="D55" s="219" t="s">
        <v>233</v>
      </c>
      <c r="E55" s="464"/>
      <c r="F55" s="486"/>
      <c r="G55" s="204" t="s">
        <v>1254</v>
      </c>
      <c r="H55" s="226">
        <f>1815000</f>
        <v>1815000</v>
      </c>
      <c r="I55" s="226">
        <v>1815000</v>
      </c>
    </row>
    <row r="56" spans="1:13">
      <c r="A56" s="252"/>
      <c r="B56" s="320" t="s">
        <v>1392</v>
      </c>
      <c r="C56" s="219" t="s">
        <v>233</v>
      </c>
      <c r="D56" s="219" t="s">
        <v>233</v>
      </c>
      <c r="E56" s="464"/>
      <c r="F56" s="486"/>
      <c r="G56" s="204" t="s">
        <v>1255</v>
      </c>
      <c r="H56" s="226">
        <v>982891</v>
      </c>
      <c r="I56" s="219" t="s">
        <v>233</v>
      </c>
    </row>
    <row r="57" spans="1:13" ht="16.5" thickBot="1">
      <c r="A57" s="342"/>
      <c r="B57" s="331" t="s">
        <v>1382</v>
      </c>
      <c r="C57" s="335" t="s">
        <v>233</v>
      </c>
      <c r="D57" s="335" t="s">
        <v>233</v>
      </c>
      <c r="E57" s="464"/>
      <c r="F57" s="483"/>
      <c r="G57" s="331"/>
      <c r="H57" s="255"/>
      <c r="I57" s="255"/>
    </row>
    <row r="58" spans="1:13">
      <c r="A58" s="209"/>
      <c r="C58" s="546"/>
      <c r="D58" s="546"/>
      <c r="E58" s="464"/>
      <c r="F58" s="549"/>
      <c r="H58" s="549"/>
      <c r="I58" s="549" t="s">
        <v>1457</v>
      </c>
    </row>
    <row r="59" spans="1:13">
      <c r="A59" s="209"/>
      <c r="C59" s="546"/>
      <c r="D59" s="546"/>
      <c r="E59" s="464"/>
      <c r="F59" s="549"/>
      <c r="H59" s="549"/>
      <c r="I59" s="549"/>
    </row>
    <row r="60" spans="1:13">
      <c r="A60" s="209"/>
      <c r="C60" s="546"/>
      <c r="D60" s="546"/>
      <c r="E60" s="464"/>
      <c r="F60" s="549"/>
      <c r="H60" s="549"/>
      <c r="I60" s="549"/>
    </row>
    <row r="61" spans="1:13">
      <c r="A61" s="209"/>
      <c r="C61" s="546"/>
      <c r="D61" s="546"/>
      <c r="E61" s="464"/>
      <c r="F61" s="549"/>
      <c r="H61" s="549"/>
      <c r="I61" s="549"/>
    </row>
    <row r="62" spans="1:13">
      <c r="A62" s="570" t="s">
        <v>1448</v>
      </c>
      <c r="B62" s="570"/>
      <c r="C62" s="570"/>
      <c r="D62" s="570"/>
      <c r="E62" s="570"/>
      <c r="F62" s="570"/>
      <c r="G62" s="570"/>
      <c r="H62" s="570"/>
      <c r="I62" s="570"/>
    </row>
    <row r="63" spans="1:13" ht="16.5" thickBot="1">
      <c r="A63" s="513"/>
      <c r="B63" s="514"/>
      <c r="C63" s="262"/>
      <c r="D63" s="262"/>
      <c r="E63" s="464"/>
      <c r="F63" s="515"/>
      <c r="G63" s="514"/>
      <c r="H63" s="515"/>
      <c r="I63" s="515"/>
    </row>
    <row r="64" spans="1:13">
      <c r="A64" s="447"/>
      <c r="B64" s="501"/>
      <c r="C64" s="502"/>
      <c r="D64" s="502"/>
      <c r="E64" s="464"/>
      <c r="F64" s="490"/>
      <c r="G64" s="319" t="s">
        <v>59</v>
      </c>
      <c r="H64" s="502"/>
      <c r="I64" s="502"/>
    </row>
    <row r="65" spans="1:9">
      <c r="A65" s="512" t="s">
        <v>1156</v>
      </c>
      <c r="B65" s="326" t="s">
        <v>1157</v>
      </c>
      <c r="C65" s="226"/>
      <c r="D65" s="241"/>
      <c r="E65" s="464"/>
      <c r="F65" s="482"/>
      <c r="G65" s="204" t="s">
        <v>1256</v>
      </c>
      <c r="H65" s="226">
        <f>1392645</f>
        <v>1392645</v>
      </c>
      <c r="I65" s="226">
        <v>1681118</v>
      </c>
    </row>
    <row r="66" spans="1:9">
      <c r="A66" s="482"/>
      <c r="B66" s="320" t="s">
        <v>427</v>
      </c>
      <c r="C66" s="226">
        <f>497600000+820000000+280000000</f>
        <v>1597600000</v>
      </c>
      <c r="D66" s="241">
        <f>784000000+278500000</f>
        <v>1062500000</v>
      </c>
      <c r="E66" s="464"/>
      <c r="F66" s="482"/>
      <c r="G66" s="204" t="s">
        <v>1257</v>
      </c>
      <c r="H66" s="219" t="s">
        <v>233</v>
      </c>
      <c r="I66" s="219" t="s">
        <v>233</v>
      </c>
    </row>
    <row r="67" spans="1:9">
      <c r="A67" s="482"/>
      <c r="B67" s="320" t="s">
        <v>428</v>
      </c>
      <c r="C67" s="219" t="s">
        <v>233</v>
      </c>
      <c r="D67" s="219" t="s">
        <v>233</v>
      </c>
      <c r="E67" s="464"/>
      <c r="F67" s="482"/>
      <c r="G67" s="204" t="s">
        <v>696</v>
      </c>
      <c r="H67" s="219" t="s">
        <v>233</v>
      </c>
      <c r="I67" s="226">
        <v>80392</v>
      </c>
    </row>
    <row r="68" spans="1:9">
      <c r="A68" s="482"/>
      <c r="B68" s="320" t="s">
        <v>429</v>
      </c>
      <c r="C68" s="219" t="s">
        <v>233</v>
      </c>
      <c r="D68" s="219" t="s">
        <v>233</v>
      </c>
      <c r="E68" s="464"/>
      <c r="F68" s="482"/>
      <c r="G68" s="204" t="s">
        <v>1258</v>
      </c>
      <c r="H68" s="226">
        <v>1021893</v>
      </c>
      <c r="I68" s="226">
        <v>693571</v>
      </c>
    </row>
    <row r="69" spans="1:9">
      <c r="A69" s="482"/>
      <c r="B69" s="320" t="s">
        <v>430</v>
      </c>
      <c r="C69" s="241"/>
      <c r="D69" s="241"/>
      <c r="E69" s="464"/>
      <c r="F69" s="482"/>
      <c r="G69" s="204" t="s">
        <v>1259</v>
      </c>
      <c r="H69" s="226">
        <f>108680</f>
        <v>108680</v>
      </c>
      <c r="I69" s="226">
        <v>289108</v>
      </c>
    </row>
    <row r="70" spans="1:9">
      <c r="A70" s="482"/>
      <c r="B70" s="320" t="s">
        <v>431</v>
      </c>
      <c r="C70" s="241"/>
      <c r="D70" s="241"/>
      <c r="E70" s="464"/>
      <c r="F70" s="482"/>
      <c r="G70" s="204" t="s">
        <v>695</v>
      </c>
      <c r="H70" s="226">
        <f>226141</f>
        <v>226141</v>
      </c>
      <c r="I70" s="226">
        <v>312940</v>
      </c>
    </row>
    <row r="71" spans="1:9">
      <c r="A71" s="482"/>
      <c r="B71" s="320" t="s">
        <v>438</v>
      </c>
      <c r="C71" s="219" t="s">
        <v>233</v>
      </c>
      <c r="D71" s="219" t="s">
        <v>233</v>
      </c>
      <c r="E71" s="464"/>
      <c r="F71" s="482"/>
      <c r="G71" s="204" t="s">
        <v>1260</v>
      </c>
      <c r="H71" s="219" t="s">
        <v>233</v>
      </c>
      <c r="I71" s="219" t="s">
        <v>233</v>
      </c>
    </row>
    <row r="72" spans="1:9">
      <c r="A72" s="482"/>
      <c r="B72" s="320" t="s">
        <v>439</v>
      </c>
      <c r="C72" s="219" t="s">
        <v>233</v>
      </c>
      <c r="D72" s="219" t="s">
        <v>233</v>
      </c>
      <c r="E72" s="464"/>
      <c r="F72" s="482"/>
      <c r="G72" s="204" t="s">
        <v>1261</v>
      </c>
      <c r="H72" s="219" t="s">
        <v>233</v>
      </c>
      <c r="I72" s="219" t="s">
        <v>233</v>
      </c>
    </row>
    <row r="73" spans="1:9">
      <c r="A73" s="482"/>
      <c r="B73" s="320" t="s">
        <v>432</v>
      </c>
      <c r="C73" s="219" t="s">
        <v>233</v>
      </c>
      <c r="D73" s="219" t="s">
        <v>233</v>
      </c>
      <c r="E73" s="464"/>
      <c r="F73" s="482"/>
      <c r="G73" s="204" t="s">
        <v>1262</v>
      </c>
      <c r="H73" s="226">
        <v>9721555</v>
      </c>
      <c r="I73" s="226">
        <v>13659003</v>
      </c>
    </row>
    <row r="74" spans="1:9">
      <c r="A74" s="482"/>
      <c r="B74" s="320" t="s">
        <v>433</v>
      </c>
      <c r="C74" s="226">
        <v>2762459</v>
      </c>
      <c r="D74" s="219" t="s">
        <v>233</v>
      </c>
      <c r="E74" s="464"/>
      <c r="F74" s="482"/>
      <c r="G74" s="249" t="s">
        <v>1263</v>
      </c>
      <c r="H74" s="226">
        <f>7020952.5+7216654.5</f>
        <v>14237607</v>
      </c>
      <c r="I74" s="226">
        <v>7788141</v>
      </c>
    </row>
    <row r="75" spans="1:9">
      <c r="A75" s="482"/>
      <c r="B75" s="320" t="s">
        <v>434</v>
      </c>
      <c r="C75" s="219" t="s">
        <v>233</v>
      </c>
      <c r="D75" s="241">
        <v>-202875</v>
      </c>
      <c r="E75" s="464"/>
      <c r="F75" s="482"/>
      <c r="G75" s="204"/>
      <c r="H75" s="226"/>
      <c r="I75" s="226"/>
    </row>
    <row r="76" spans="1:9">
      <c r="A76" s="482"/>
      <c r="B76" s="320" t="s">
        <v>51</v>
      </c>
      <c r="C76" s="219" t="s">
        <v>233</v>
      </c>
      <c r="D76" s="219" t="s">
        <v>233</v>
      </c>
      <c r="E76" s="464"/>
      <c r="F76" s="482"/>
      <c r="G76" s="318" t="s">
        <v>60</v>
      </c>
      <c r="H76" s="226"/>
      <c r="I76" s="226"/>
    </row>
    <row r="77" spans="1:9">
      <c r="A77" s="482"/>
      <c r="B77" s="320" t="s">
        <v>52</v>
      </c>
      <c r="C77" s="219" t="s">
        <v>233</v>
      </c>
      <c r="D77" s="241">
        <v>-102994</v>
      </c>
      <c r="E77" s="464"/>
      <c r="F77" s="482"/>
      <c r="G77" s="204" t="s">
        <v>1264</v>
      </c>
      <c r="H77" s="226">
        <v>11287726</v>
      </c>
      <c r="I77" s="226">
        <v>15779618</v>
      </c>
    </row>
    <row r="78" spans="1:9">
      <c r="A78" s="482"/>
      <c r="B78" s="320" t="s">
        <v>1011</v>
      </c>
      <c r="C78" s="219" t="s">
        <v>233</v>
      </c>
      <c r="D78" s="219" t="s">
        <v>233</v>
      </c>
      <c r="E78" s="464"/>
      <c r="F78" s="482"/>
      <c r="G78" s="204" t="s">
        <v>1265</v>
      </c>
      <c r="H78" s="226">
        <v>4212372</v>
      </c>
      <c r="I78" s="226">
        <v>4305317</v>
      </c>
    </row>
    <row r="79" spans="1:9">
      <c r="A79" s="482"/>
      <c r="B79" s="320" t="s">
        <v>1176</v>
      </c>
      <c r="C79" s="226">
        <v>2750000</v>
      </c>
      <c r="D79" s="241">
        <v>4900000</v>
      </c>
      <c r="E79" s="464"/>
      <c r="F79" s="482"/>
      <c r="G79" s="204" t="s">
        <v>1266</v>
      </c>
      <c r="H79" s="226">
        <v>910395</v>
      </c>
      <c r="I79" s="219" t="s">
        <v>233</v>
      </c>
    </row>
    <row r="80" spans="1:9">
      <c r="A80" s="482"/>
      <c r="B80" s="320" t="s">
        <v>1177</v>
      </c>
      <c r="C80" s="219" t="s">
        <v>233</v>
      </c>
      <c r="D80" s="219" t="s">
        <v>233</v>
      </c>
      <c r="E80" s="464"/>
      <c r="F80" s="482"/>
      <c r="G80" s="204" t="s">
        <v>1267</v>
      </c>
      <c r="H80" s="226">
        <v>6330816</v>
      </c>
      <c r="I80" s="226">
        <v>7410811</v>
      </c>
    </row>
    <row r="81" spans="1:12">
      <c r="A81" s="482"/>
      <c r="B81" s="241" t="s">
        <v>1178</v>
      </c>
      <c r="C81" s="219" t="s">
        <v>233</v>
      </c>
      <c r="D81" s="219" t="s">
        <v>233</v>
      </c>
      <c r="E81" s="464"/>
      <c r="F81" s="482"/>
      <c r="G81" s="204" t="s">
        <v>1268</v>
      </c>
      <c r="H81" s="226">
        <v>8382490</v>
      </c>
      <c r="I81" s="226">
        <v>7710784</v>
      </c>
    </row>
    <row r="82" spans="1:12">
      <c r="A82" s="482"/>
      <c r="B82" s="241" t="s">
        <v>1179</v>
      </c>
      <c r="C82" s="226">
        <v>4950000</v>
      </c>
      <c r="D82" s="241">
        <f>2301000+40000</f>
        <v>2341000</v>
      </c>
      <c r="E82" s="464"/>
      <c r="F82" s="482"/>
      <c r="G82" s="204" t="s">
        <v>1269</v>
      </c>
      <c r="H82" s="219" t="s">
        <v>233</v>
      </c>
      <c r="I82" s="219" t="s">
        <v>233</v>
      </c>
    </row>
    <row r="83" spans="1:12">
      <c r="A83" s="249"/>
      <c r="B83" s="320" t="s">
        <v>1180</v>
      </c>
      <c r="C83" s="219" t="s">
        <v>233</v>
      </c>
      <c r="D83" s="219" t="s">
        <v>233</v>
      </c>
      <c r="E83" s="464"/>
      <c r="F83" s="482"/>
      <c r="G83" s="204" t="s">
        <v>1270</v>
      </c>
      <c r="H83" s="219" t="s">
        <v>233</v>
      </c>
      <c r="I83" s="219" t="s">
        <v>233</v>
      </c>
    </row>
    <row r="84" spans="1:12">
      <c r="A84" s="249"/>
      <c r="B84" s="320" t="s">
        <v>1181</v>
      </c>
      <c r="C84" s="219" t="s">
        <v>233</v>
      </c>
      <c r="D84" s="219" t="s">
        <v>233</v>
      </c>
      <c r="E84" s="464"/>
      <c r="F84" s="482"/>
      <c r="G84" s="204" t="s">
        <v>1271</v>
      </c>
      <c r="H84" s="219" t="s">
        <v>233</v>
      </c>
      <c r="I84" s="219" t="s">
        <v>233</v>
      </c>
    </row>
    <row r="85" spans="1:12">
      <c r="A85" s="249"/>
      <c r="B85" s="320" t="s">
        <v>1182</v>
      </c>
      <c r="C85" s="226">
        <v>1639000</v>
      </c>
      <c r="D85" s="241">
        <v>2152794</v>
      </c>
      <c r="E85" s="542"/>
      <c r="F85" s="482"/>
      <c r="G85" s="204" t="s">
        <v>1272</v>
      </c>
      <c r="H85" s="226">
        <f>225853744.42-16255598</f>
        <v>209598146.41999999</v>
      </c>
      <c r="I85" s="226">
        <v>264840661</v>
      </c>
      <c r="K85" s="209">
        <v>228426882</v>
      </c>
      <c r="L85" s="209">
        <v>218380900.41999999</v>
      </c>
    </row>
    <row r="86" spans="1:12">
      <c r="A86" s="249"/>
      <c r="B86" s="320" t="s">
        <v>527</v>
      </c>
      <c r="C86" s="219" t="s">
        <v>233</v>
      </c>
      <c r="D86" s="219" t="s">
        <v>233</v>
      </c>
      <c r="E86" s="327"/>
      <c r="F86" s="482"/>
      <c r="G86" s="204" t="s">
        <v>1273</v>
      </c>
      <c r="H86" s="219" t="s">
        <v>233</v>
      </c>
      <c r="I86" s="219" t="s">
        <v>233</v>
      </c>
      <c r="K86" s="209">
        <f>K85-H85</f>
        <v>18828735.580000013</v>
      </c>
      <c r="L86" s="209">
        <f>L85-H85</f>
        <v>8782754</v>
      </c>
    </row>
    <row r="87" spans="1:12">
      <c r="A87" s="249"/>
      <c r="B87" s="320" t="s">
        <v>1183</v>
      </c>
      <c r="C87" s="219" t="s">
        <v>233</v>
      </c>
      <c r="D87" s="219" t="s">
        <v>233</v>
      </c>
      <c r="E87" s="327"/>
      <c r="F87" s="482"/>
      <c r="G87" s="204" t="s">
        <v>1274</v>
      </c>
      <c r="H87" s="219" t="s">
        <v>233</v>
      </c>
      <c r="I87" s="219" t="s">
        <v>233</v>
      </c>
      <c r="L87" s="209">
        <v>1263228</v>
      </c>
    </row>
    <row r="88" spans="1:12">
      <c r="A88" s="249"/>
      <c r="B88" s="320" t="s">
        <v>1184</v>
      </c>
      <c r="C88" s="226">
        <v>17290000</v>
      </c>
      <c r="D88" s="219" t="s">
        <v>233</v>
      </c>
      <c r="E88" s="327"/>
      <c r="F88" s="482"/>
      <c r="G88" s="204" t="s">
        <v>1275</v>
      </c>
      <c r="H88" s="226">
        <f>11171141+227977</f>
        <v>11399118</v>
      </c>
      <c r="I88" s="226">
        <v>11016415</v>
      </c>
      <c r="K88" s="209">
        <f>H85+8782754</f>
        <v>218380900.41999999</v>
      </c>
      <c r="L88" s="209">
        <f>7472844+L87</f>
        <v>8736072</v>
      </c>
    </row>
    <row r="89" spans="1:12">
      <c r="A89" s="249"/>
      <c r="B89" s="320" t="s">
        <v>839</v>
      </c>
      <c r="C89" s="226">
        <v>3999510</v>
      </c>
      <c r="D89" s="219" t="s">
        <v>233</v>
      </c>
      <c r="E89" s="327"/>
      <c r="F89" s="482"/>
      <c r="G89" s="204" t="s">
        <v>1276</v>
      </c>
      <c r="H89" s="219" t="s">
        <v>233</v>
      </c>
      <c r="I89" s="219" t="s">
        <v>233</v>
      </c>
      <c r="K89" s="209">
        <f>K88+1263228</f>
        <v>219644128.41999999</v>
      </c>
    </row>
    <row r="90" spans="1:12">
      <c r="A90" s="249"/>
      <c r="B90" s="320" t="s">
        <v>1185</v>
      </c>
      <c r="C90" s="226">
        <v>347570</v>
      </c>
      <c r="D90" s="241">
        <v>98225</v>
      </c>
      <c r="E90" s="327"/>
      <c r="F90" s="482"/>
      <c r="G90" s="204" t="s">
        <v>1277</v>
      </c>
      <c r="H90" s="219" t="s">
        <v>233</v>
      </c>
      <c r="I90" s="219" t="s">
        <v>233</v>
      </c>
      <c r="K90" s="209">
        <f>K89-K88</f>
        <v>1263228</v>
      </c>
    </row>
    <row r="91" spans="1:12">
      <c r="A91" s="249"/>
      <c r="B91" s="320"/>
      <c r="C91" s="226"/>
      <c r="D91" s="241"/>
      <c r="E91" s="226"/>
      <c r="F91" s="537"/>
      <c r="G91" s="204"/>
      <c r="H91" s="250"/>
      <c r="I91" s="219"/>
    </row>
    <row r="92" spans="1:12">
      <c r="A92" s="249"/>
      <c r="B92" s="320"/>
      <c r="C92" s="226"/>
      <c r="D92" s="241"/>
      <c r="E92" s="226"/>
      <c r="F92" s="537"/>
      <c r="G92" s="204" t="s">
        <v>1420</v>
      </c>
      <c r="H92" s="250"/>
      <c r="I92" s="219"/>
    </row>
    <row r="93" spans="1:12">
      <c r="A93" s="249"/>
      <c r="B93" s="320"/>
      <c r="C93" s="226"/>
      <c r="D93" s="241"/>
      <c r="E93" s="226"/>
      <c r="F93" s="537"/>
      <c r="G93" s="204" t="s">
        <v>1421</v>
      </c>
      <c r="H93" s="226">
        <v>16255598</v>
      </c>
      <c r="I93" s="219"/>
    </row>
    <row r="94" spans="1:12">
      <c r="A94" s="249"/>
      <c r="B94" s="320" t="s">
        <v>1186</v>
      </c>
      <c r="C94" s="226">
        <v>2814263</v>
      </c>
      <c r="D94" s="241">
        <v>2469373</v>
      </c>
      <c r="E94" s="226"/>
      <c r="G94" s="209"/>
      <c r="H94" s="204"/>
      <c r="I94" s="226"/>
      <c r="J94" s="226"/>
    </row>
    <row r="95" spans="1:12">
      <c r="A95" s="249"/>
      <c r="B95" s="320" t="s">
        <v>1187</v>
      </c>
      <c r="C95" s="226">
        <v>29700000</v>
      </c>
      <c r="D95" s="219" t="s">
        <v>233</v>
      </c>
      <c r="E95" s="328"/>
      <c r="F95" s="482"/>
      <c r="G95" s="318" t="s">
        <v>61</v>
      </c>
      <c r="H95" s="226"/>
      <c r="I95" s="226"/>
    </row>
    <row r="96" spans="1:12">
      <c r="A96" s="249"/>
      <c r="B96" s="320" t="s">
        <v>1188</v>
      </c>
      <c r="C96" s="226">
        <v>11691000</v>
      </c>
      <c r="D96" s="219" t="s">
        <v>233</v>
      </c>
      <c r="E96" s="328"/>
      <c r="F96" s="482"/>
      <c r="G96" s="204" t="s">
        <v>1225</v>
      </c>
      <c r="H96" s="226">
        <v>553243</v>
      </c>
      <c r="I96" s="226">
        <v>669441</v>
      </c>
    </row>
    <row r="97" spans="1:9">
      <c r="A97" s="249"/>
      <c r="B97" s="320" t="s">
        <v>1189</v>
      </c>
      <c r="C97" s="226">
        <v>4800974</v>
      </c>
      <c r="D97" s="219" t="s">
        <v>233</v>
      </c>
      <c r="E97" s="328"/>
      <c r="F97" s="482"/>
      <c r="G97" s="204" t="s">
        <v>1278</v>
      </c>
      <c r="H97" s="226">
        <v>381000</v>
      </c>
      <c r="I97" s="226">
        <v>293679</v>
      </c>
    </row>
    <row r="98" spans="1:9">
      <c r="A98" s="249"/>
      <c r="B98" s="320" t="s">
        <v>1190</v>
      </c>
      <c r="C98" s="226">
        <v>334550</v>
      </c>
      <c r="D98" s="219" t="s">
        <v>233</v>
      </c>
      <c r="E98" s="328"/>
      <c r="F98" s="482"/>
      <c r="G98" s="204" t="s">
        <v>1279</v>
      </c>
      <c r="H98" s="226">
        <v>1391325</v>
      </c>
      <c r="I98" s="226">
        <v>1234733</v>
      </c>
    </row>
    <row r="99" spans="1:9">
      <c r="A99" s="249"/>
      <c r="B99" s="320"/>
      <c r="C99" s="226"/>
      <c r="D99" s="241"/>
      <c r="E99" s="328"/>
      <c r="F99" s="482"/>
      <c r="G99" s="204" t="s">
        <v>1280</v>
      </c>
      <c r="H99" s="226">
        <v>2333992</v>
      </c>
      <c r="I99" s="226">
        <v>1712608</v>
      </c>
    </row>
    <row r="100" spans="1:9">
      <c r="A100" s="318" t="s">
        <v>1158</v>
      </c>
      <c r="B100" s="326" t="s">
        <v>1159</v>
      </c>
      <c r="C100" s="226"/>
      <c r="D100" s="241"/>
      <c r="E100" s="328"/>
      <c r="F100" s="482"/>
      <c r="G100" s="204" t="s">
        <v>1281</v>
      </c>
      <c r="H100" s="226">
        <v>10507565</v>
      </c>
      <c r="I100" s="226">
        <v>10624429</v>
      </c>
    </row>
    <row r="101" spans="1:9">
      <c r="A101" s="482"/>
      <c r="B101" s="320" t="s">
        <v>435</v>
      </c>
      <c r="C101" s="219" t="s">
        <v>233</v>
      </c>
      <c r="D101" s="219" t="s">
        <v>233</v>
      </c>
      <c r="E101" s="328"/>
      <c r="F101" s="482"/>
      <c r="G101" s="204" t="s">
        <v>697</v>
      </c>
      <c r="H101" s="226">
        <v>151442</v>
      </c>
      <c r="I101" s="226">
        <v>420000</v>
      </c>
    </row>
    <row r="102" spans="1:9">
      <c r="A102" s="249"/>
      <c r="B102" s="320" t="s">
        <v>436</v>
      </c>
      <c r="C102" s="219" t="s">
        <v>233</v>
      </c>
      <c r="D102" s="219" t="s">
        <v>233</v>
      </c>
      <c r="E102" s="328"/>
      <c r="F102" s="482"/>
      <c r="G102" s="204" t="s">
        <v>1282</v>
      </c>
      <c r="H102" s="226">
        <v>1130250</v>
      </c>
      <c r="I102" s="226">
        <v>881250</v>
      </c>
    </row>
    <row r="103" spans="1:9">
      <c r="A103" s="249"/>
      <c r="B103" s="320"/>
      <c r="C103" s="226"/>
      <c r="D103" s="241"/>
      <c r="E103" s="328"/>
      <c r="F103" s="482"/>
      <c r="G103" s="204" t="s">
        <v>1283</v>
      </c>
      <c r="H103" s="226">
        <v>863577</v>
      </c>
      <c r="I103" s="226">
        <v>12062</v>
      </c>
    </row>
    <row r="104" spans="1:9">
      <c r="A104" s="318" t="s">
        <v>1160</v>
      </c>
      <c r="B104" s="326" t="s">
        <v>1161</v>
      </c>
      <c r="C104" s="226"/>
      <c r="D104" s="241"/>
      <c r="E104" s="328"/>
      <c r="F104" s="482"/>
      <c r="G104" s="204" t="s">
        <v>1284</v>
      </c>
      <c r="H104" s="226">
        <v>700</v>
      </c>
      <c r="I104" s="226">
        <v>210000</v>
      </c>
    </row>
    <row r="105" spans="1:9" s="533" customFormat="1">
      <c r="A105" s="528"/>
      <c r="B105" s="320" t="s">
        <v>167</v>
      </c>
      <c r="C105" s="226"/>
      <c r="D105" s="529" t="s">
        <v>233</v>
      </c>
      <c r="E105" s="530"/>
      <c r="F105" s="531"/>
      <c r="G105" s="204" t="s">
        <v>1285</v>
      </c>
      <c r="H105" s="219" t="s">
        <v>233</v>
      </c>
      <c r="I105" s="226">
        <v>162145</v>
      </c>
    </row>
    <row r="106" spans="1:9" s="533" customFormat="1">
      <c r="A106" s="528"/>
      <c r="B106" s="320" t="s">
        <v>168</v>
      </c>
      <c r="C106" s="226">
        <f>12245773+4407946</f>
        <v>16653719</v>
      </c>
      <c r="D106" s="241">
        <f>13171509+3856795+397132+1133223+2612003+4978918</f>
        <v>26149580</v>
      </c>
      <c r="E106" s="530"/>
      <c r="F106" s="534"/>
      <c r="G106" s="532"/>
      <c r="H106" s="339"/>
      <c r="I106" s="339"/>
    </row>
    <row r="107" spans="1:9">
      <c r="A107" s="482"/>
      <c r="B107" s="320" t="s">
        <v>169</v>
      </c>
      <c r="C107" s="226">
        <v>104939</v>
      </c>
      <c r="D107" s="241">
        <v>80462</v>
      </c>
      <c r="E107" s="328"/>
      <c r="F107" s="329"/>
      <c r="G107" s="318" t="s">
        <v>62</v>
      </c>
      <c r="H107" s="226"/>
      <c r="I107" s="226"/>
    </row>
    <row r="108" spans="1:9">
      <c r="A108" s="482"/>
      <c r="B108" s="320" t="s">
        <v>170</v>
      </c>
      <c r="C108" s="226">
        <v>223522</v>
      </c>
      <c r="D108" s="241">
        <v>275549</v>
      </c>
      <c r="E108" s="328"/>
      <c r="F108" s="482"/>
      <c r="G108" s="204" t="s">
        <v>1286</v>
      </c>
      <c r="H108" s="226">
        <v>13200</v>
      </c>
      <c r="I108" s="226">
        <v>2200</v>
      </c>
    </row>
    <row r="109" spans="1:9">
      <c r="A109" s="482"/>
      <c r="B109" s="320" t="s">
        <v>171</v>
      </c>
      <c r="C109" s="226">
        <v>325747</v>
      </c>
      <c r="D109" s="241">
        <v>214923</v>
      </c>
      <c r="E109" s="328"/>
      <c r="F109" s="482"/>
      <c r="G109" s="204" t="s">
        <v>1287</v>
      </c>
      <c r="H109" s="226">
        <v>2000</v>
      </c>
      <c r="I109" s="226">
        <v>1000</v>
      </c>
    </row>
    <row r="110" spans="1:9">
      <c r="A110" s="482"/>
      <c r="B110" s="320" t="s">
        <v>172</v>
      </c>
      <c r="C110" s="226">
        <v>9290</v>
      </c>
      <c r="D110" s="241">
        <v>7918</v>
      </c>
      <c r="E110" s="328"/>
      <c r="F110" s="482"/>
      <c r="G110" s="204" t="s">
        <v>1288</v>
      </c>
      <c r="H110" s="226">
        <v>1440</v>
      </c>
      <c r="I110" s="226">
        <v>720</v>
      </c>
    </row>
    <row r="111" spans="1:9">
      <c r="A111" s="482"/>
      <c r="B111" s="320" t="s">
        <v>173</v>
      </c>
      <c r="C111" s="226">
        <v>24119</v>
      </c>
      <c r="D111" s="241">
        <v>27417</v>
      </c>
      <c r="E111" s="328"/>
      <c r="F111" s="249"/>
      <c r="G111" s="204" t="s">
        <v>1289</v>
      </c>
      <c r="H111" s="226">
        <v>375100</v>
      </c>
      <c r="I111" s="226">
        <f>95400-3200</f>
        <v>92200</v>
      </c>
    </row>
    <row r="112" spans="1:9">
      <c r="A112" s="482"/>
      <c r="B112" s="320" t="s">
        <v>510</v>
      </c>
      <c r="C112" s="226">
        <v>564</v>
      </c>
      <c r="D112" s="241">
        <v>542</v>
      </c>
      <c r="E112" s="328"/>
      <c r="F112" s="482"/>
      <c r="G112" s="204" t="s">
        <v>1290</v>
      </c>
      <c r="H112" s="219" t="s">
        <v>233</v>
      </c>
      <c r="I112" s="226">
        <v>9000</v>
      </c>
    </row>
    <row r="113" spans="1:11">
      <c r="A113" s="482"/>
      <c r="B113" s="320" t="s">
        <v>513</v>
      </c>
      <c r="C113" s="226">
        <v>43</v>
      </c>
      <c r="D113" s="241">
        <v>42</v>
      </c>
      <c r="E113" s="328"/>
      <c r="F113" s="482"/>
      <c r="G113" s="204" t="s">
        <v>1291</v>
      </c>
      <c r="H113" s="226">
        <v>3225621</v>
      </c>
      <c r="I113" s="226">
        <v>2589719</v>
      </c>
    </row>
    <row r="114" spans="1:11">
      <c r="A114" s="482"/>
      <c r="B114" s="320" t="s">
        <v>514</v>
      </c>
      <c r="C114" s="226">
        <v>2117</v>
      </c>
      <c r="D114" s="241">
        <v>52397</v>
      </c>
      <c r="E114" s="328"/>
      <c r="F114" s="482"/>
      <c r="G114" s="204" t="s">
        <v>1292</v>
      </c>
      <c r="H114" s="226">
        <v>6982500</v>
      </c>
      <c r="I114" s="226">
        <v>5798770</v>
      </c>
    </row>
    <row r="115" spans="1:11">
      <c r="A115" s="482"/>
      <c r="B115" s="320" t="s">
        <v>831</v>
      </c>
      <c r="C115" s="226">
        <v>957</v>
      </c>
      <c r="D115" s="241">
        <v>975</v>
      </c>
      <c r="E115" s="328"/>
      <c r="F115" s="482"/>
      <c r="G115" s="204" t="s">
        <v>1293</v>
      </c>
      <c r="H115" s="226">
        <v>1168400</v>
      </c>
      <c r="I115" s="226">
        <v>789047</v>
      </c>
    </row>
    <row r="116" spans="1:11">
      <c r="A116" s="482"/>
      <c r="B116" s="320" t="s">
        <v>833</v>
      </c>
      <c r="C116" s="226">
        <v>128847</v>
      </c>
      <c r="D116" s="241">
        <v>153571</v>
      </c>
      <c r="E116" s="328"/>
      <c r="F116" s="482"/>
      <c r="G116" s="204" t="s">
        <v>1294</v>
      </c>
      <c r="H116" s="219" t="s">
        <v>233</v>
      </c>
      <c r="I116" s="219" t="s">
        <v>233</v>
      </c>
    </row>
    <row r="117" spans="1:11">
      <c r="A117" s="482"/>
      <c r="B117" s="320" t="s">
        <v>947</v>
      </c>
      <c r="C117" s="226">
        <v>17961</v>
      </c>
      <c r="D117" s="241">
        <v>12251</v>
      </c>
      <c r="E117" s="328"/>
      <c r="F117" s="482"/>
      <c r="G117" s="204" t="s">
        <v>1295</v>
      </c>
      <c r="H117" s="226">
        <v>39267</v>
      </c>
      <c r="I117" s="226">
        <v>96000</v>
      </c>
    </row>
    <row r="118" spans="1:11">
      <c r="A118" s="482"/>
      <c r="B118" s="320" t="s">
        <v>1127</v>
      </c>
      <c r="C118" s="226">
        <v>3762</v>
      </c>
      <c r="D118" s="219" t="s">
        <v>233</v>
      </c>
      <c r="E118" s="328"/>
      <c r="F118" s="482"/>
      <c r="G118" s="204" t="s">
        <v>1212</v>
      </c>
      <c r="H118" s="226">
        <v>40000</v>
      </c>
      <c r="I118" s="226">
        <v>140000</v>
      </c>
    </row>
    <row r="119" spans="1:11">
      <c r="A119" s="482"/>
      <c r="B119" s="320" t="s">
        <v>441</v>
      </c>
      <c r="C119" s="226">
        <v>196658</v>
      </c>
      <c r="D119" s="241">
        <v>402286</v>
      </c>
      <c r="E119" s="328"/>
      <c r="F119" s="482"/>
      <c r="G119" s="204" t="s">
        <v>1296</v>
      </c>
      <c r="H119" s="226">
        <v>3600</v>
      </c>
      <c r="I119" s="219" t="s">
        <v>233</v>
      </c>
    </row>
    <row r="120" spans="1:11">
      <c r="A120" s="249"/>
      <c r="B120" s="320" t="s">
        <v>442</v>
      </c>
      <c r="C120" s="226">
        <v>199527</v>
      </c>
      <c r="D120" s="241">
        <v>135586</v>
      </c>
      <c r="E120" s="328"/>
      <c r="F120" s="482"/>
      <c r="G120" s="204" t="s">
        <v>1297</v>
      </c>
      <c r="H120" s="226">
        <v>7997</v>
      </c>
      <c r="I120" s="226">
        <v>1800</v>
      </c>
    </row>
    <row r="121" spans="1:11">
      <c r="A121" s="249"/>
      <c r="B121" s="320" t="s">
        <v>443</v>
      </c>
      <c r="C121" s="226">
        <v>89021</v>
      </c>
      <c r="D121" s="241">
        <v>88466</v>
      </c>
      <c r="E121" s="328"/>
      <c r="F121" s="482"/>
      <c r="G121" s="204" t="s">
        <v>954</v>
      </c>
      <c r="H121" s="226">
        <v>10211695</v>
      </c>
      <c r="I121" s="226">
        <v>9995179</v>
      </c>
    </row>
    <row r="122" spans="1:11" ht="16.5" thickBot="1">
      <c r="A122" s="342"/>
      <c r="B122" s="331" t="s">
        <v>736</v>
      </c>
      <c r="C122" s="335" t="s">
        <v>233</v>
      </c>
      <c r="D122" s="247">
        <v>6106</v>
      </c>
      <c r="E122" s="511"/>
      <c r="F122" s="483"/>
      <c r="G122" s="323" t="s">
        <v>955</v>
      </c>
      <c r="H122" s="335" t="s">
        <v>233</v>
      </c>
      <c r="I122" s="335" t="s">
        <v>233</v>
      </c>
      <c r="K122" s="510"/>
    </row>
    <row r="123" spans="1:11">
      <c r="A123" s="346"/>
      <c r="B123" s="552"/>
      <c r="C123" s="553"/>
      <c r="D123" s="346"/>
      <c r="E123" s="554"/>
      <c r="F123" s="548"/>
      <c r="G123" s="552"/>
      <c r="H123" s="553"/>
      <c r="I123" s="548" t="s">
        <v>1461</v>
      </c>
    </row>
    <row r="124" spans="1:11">
      <c r="A124" s="570" t="s">
        <v>1447</v>
      </c>
      <c r="B124" s="570"/>
      <c r="C124" s="570"/>
      <c r="D124" s="570"/>
      <c r="E124" s="570"/>
      <c r="F124" s="570"/>
      <c r="G124" s="570"/>
      <c r="H124" s="570"/>
      <c r="I124" s="570"/>
    </row>
    <row r="125" spans="1:11" ht="16.5" thickBot="1">
      <c r="A125" s="209"/>
      <c r="C125" s="498"/>
      <c r="E125" s="500"/>
      <c r="F125" s="499"/>
      <c r="H125" s="498"/>
      <c r="I125" s="498"/>
    </row>
    <row r="126" spans="1:11">
      <c r="A126" s="551"/>
      <c r="B126" s="506"/>
      <c r="C126" s="225"/>
      <c r="D126" s="240"/>
      <c r="E126" s="509"/>
      <c r="F126" s="484"/>
      <c r="G126" s="324" t="s">
        <v>1298</v>
      </c>
      <c r="H126" s="374" t="s">
        <v>233</v>
      </c>
      <c r="I126" s="225">
        <v>2200</v>
      </c>
    </row>
    <row r="127" spans="1:11">
      <c r="A127" s="326" t="s">
        <v>1162</v>
      </c>
      <c r="B127" s="326" t="s">
        <v>1163</v>
      </c>
      <c r="C127" s="226"/>
      <c r="D127" s="241"/>
      <c r="E127" s="328"/>
      <c r="F127" s="482"/>
      <c r="G127" s="204" t="s">
        <v>956</v>
      </c>
      <c r="H127" s="226">
        <f>121477+34104571</f>
        <v>34226048</v>
      </c>
      <c r="I127" s="226">
        <v>28385474</v>
      </c>
    </row>
    <row r="128" spans="1:11">
      <c r="A128" s="482"/>
      <c r="B128" s="326"/>
      <c r="C128" s="226"/>
      <c r="D128" s="241"/>
      <c r="E128" s="328"/>
      <c r="F128" s="482"/>
      <c r="G128" s="204" t="s">
        <v>1299</v>
      </c>
      <c r="H128" s="226">
        <v>2157775</v>
      </c>
      <c r="I128" s="226">
        <v>1984050</v>
      </c>
    </row>
    <row r="129" spans="1:9">
      <c r="A129" s="482"/>
      <c r="B129" s="320" t="s">
        <v>437</v>
      </c>
      <c r="C129" s="226">
        <v>4079884</v>
      </c>
      <c r="D129" s="241">
        <f>3547769</f>
        <v>3547769</v>
      </c>
      <c r="E129" s="328"/>
      <c r="F129" s="482"/>
      <c r="G129" s="204" t="s">
        <v>1300</v>
      </c>
      <c r="H129" s="226">
        <v>26256090</v>
      </c>
      <c r="I129" s="226">
        <f>20076866+606792</f>
        <v>20683658</v>
      </c>
    </row>
    <row r="130" spans="1:9">
      <c r="A130" s="482"/>
      <c r="B130" s="320" t="s">
        <v>1191</v>
      </c>
      <c r="C130" s="226">
        <v>1925607</v>
      </c>
      <c r="D130" s="241">
        <v>1565424</v>
      </c>
      <c r="E130" s="328"/>
      <c r="F130" s="482"/>
      <c r="G130" s="204" t="s">
        <v>1301</v>
      </c>
      <c r="H130" s="219" t="s">
        <v>233</v>
      </c>
      <c r="I130" s="219" t="s">
        <v>233</v>
      </c>
    </row>
    <row r="131" spans="1:9">
      <c r="A131" s="482"/>
      <c r="B131" s="320" t="s">
        <v>1192</v>
      </c>
      <c r="C131" s="226">
        <v>470197.5</v>
      </c>
      <c r="D131" s="241">
        <v>513650</v>
      </c>
      <c r="E131" s="328"/>
      <c r="F131" s="482"/>
      <c r="G131" s="204" t="s">
        <v>1302</v>
      </c>
      <c r="H131" s="219" t="s">
        <v>233</v>
      </c>
      <c r="I131" s="226">
        <v>440</v>
      </c>
    </row>
    <row r="132" spans="1:9">
      <c r="A132" s="482"/>
      <c r="B132" s="320" t="s">
        <v>1193</v>
      </c>
      <c r="C132" s="226">
        <v>2859672.5</v>
      </c>
      <c r="D132" s="241">
        <v>3505012</v>
      </c>
      <c r="E132" s="328"/>
      <c r="F132" s="482"/>
      <c r="G132" s="204" t="s">
        <v>1303</v>
      </c>
      <c r="H132" s="226">
        <v>166600</v>
      </c>
      <c r="I132" s="226">
        <v>159450</v>
      </c>
    </row>
    <row r="133" spans="1:9">
      <c r="A133" s="482"/>
      <c r="B133" s="320" t="s">
        <v>1194</v>
      </c>
      <c r="C133" s="226">
        <v>815012.5</v>
      </c>
      <c r="D133" s="241">
        <v>696890</v>
      </c>
      <c r="E133" s="328"/>
      <c r="F133" s="482"/>
      <c r="G133" s="204" t="s">
        <v>1304</v>
      </c>
      <c r="H133" s="226">
        <v>85212</v>
      </c>
      <c r="I133" s="226">
        <v>42606</v>
      </c>
    </row>
    <row r="134" spans="1:9">
      <c r="A134" s="482"/>
      <c r="B134" s="320" t="s">
        <v>1195</v>
      </c>
      <c r="C134" s="226">
        <v>29870</v>
      </c>
      <c r="D134" s="241">
        <v>26891</v>
      </c>
      <c r="E134" s="328"/>
      <c r="F134" s="482"/>
      <c r="G134" s="204"/>
      <c r="H134" s="226"/>
      <c r="I134" s="226"/>
    </row>
    <row r="135" spans="1:9">
      <c r="A135" s="482"/>
      <c r="B135" s="320" t="s">
        <v>1196</v>
      </c>
      <c r="C135" s="226">
        <v>9547679</v>
      </c>
      <c r="D135" s="241">
        <v>9107840</v>
      </c>
      <c r="E135" s="328"/>
      <c r="F135" s="485"/>
      <c r="G135" s="318" t="s">
        <v>155</v>
      </c>
      <c r="H135" s="226"/>
      <c r="I135" s="226"/>
    </row>
    <row r="136" spans="1:9">
      <c r="A136" s="249"/>
      <c r="B136" s="320" t="s">
        <v>1197</v>
      </c>
      <c r="C136" s="226">
        <v>19063088</v>
      </c>
      <c r="D136" s="241">
        <v>7860025</v>
      </c>
      <c r="E136" s="328"/>
      <c r="F136" s="485"/>
      <c r="G136" s="204"/>
      <c r="H136" s="226"/>
      <c r="I136" s="226"/>
    </row>
    <row r="137" spans="1:9">
      <c r="A137" s="249"/>
      <c r="B137" s="320" t="s">
        <v>1198</v>
      </c>
      <c r="C137" s="226">
        <v>700000</v>
      </c>
      <c r="D137" s="219" t="s">
        <v>233</v>
      </c>
      <c r="E137" s="328"/>
      <c r="F137" s="485"/>
      <c r="G137" s="204" t="s">
        <v>1305</v>
      </c>
      <c r="H137" s="226">
        <f>7755613+57802</f>
        <v>7813415</v>
      </c>
      <c r="I137" s="226">
        <f>781781+6747306</f>
        <v>7529087</v>
      </c>
    </row>
    <row r="138" spans="1:9">
      <c r="A138" s="249"/>
      <c r="B138" s="320" t="s">
        <v>1199</v>
      </c>
      <c r="C138" s="226">
        <v>3558800</v>
      </c>
      <c r="D138" s="219" t="s">
        <v>233</v>
      </c>
      <c r="E138" s="328"/>
      <c r="F138" s="485"/>
      <c r="G138" s="204" t="s">
        <v>1306</v>
      </c>
      <c r="H138" s="219" t="s">
        <v>233</v>
      </c>
      <c r="I138" s="219" t="s">
        <v>233</v>
      </c>
    </row>
    <row r="139" spans="1:9">
      <c r="A139" s="249"/>
      <c r="B139" s="320"/>
      <c r="C139" s="226"/>
      <c r="D139" s="241"/>
      <c r="E139" s="328"/>
      <c r="F139" s="482"/>
      <c r="G139" s="204" t="s">
        <v>1307</v>
      </c>
      <c r="H139" s="219" t="s">
        <v>233</v>
      </c>
      <c r="I139" s="219" t="s">
        <v>233</v>
      </c>
    </row>
    <row r="140" spans="1:9">
      <c r="A140" s="318" t="s">
        <v>1164</v>
      </c>
      <c r="B140" s="326" t="s">
        <v>1165</v>
      </c>
      <c r="C140" s="226"/>
      <c r="D140" s="241"/>
      <c r="E140" s="328"/>
      <c r="F140" s="482"/>
      <c r="G140" s="204" t="s">
        <v>1308</v>
      </c>
      <c r="H140" s="219" t="s">
        <v>233</v>
      </c>
      <c r="I140" s="219" t="s">
        <v>233</v>
      </c>
    </row>
    <row r="141" spans="1:9">
      <c r="A141" s="249"/>
      <c r="B141" s="320"/>
      <c r="C141" s="226"/>
      <c r="D141" s="241"/>
      <c r="E141" s="328"/>
      <c r="F141" s="482"/>
      <c r="G141" s="204" t="s">
        <v>1309</v>
      </c>
      <c r="H141" s="226">
        <v>11437220</v>
      </c>
      <c r="I141" s="226">
        <v>109700</v>
      </c>
    </row>
    <row r="142" spans="1:9">
      <c r="A142" s="318" t="s">
        <v>1166</v>
      </c>
      <c r="B142" s="326" t="s">
        <v>1167</v>
      </c>
      <c r="C142" s="226"/>
      <c r="D142" s="241"/>
      <c r="E142" s="328"/>
      <c r="F142" s="249"/>
      <c r="G142" s="204" t="s">
        <v>1310</v>
      </c>
      <c r="H142" s="226">
        <v>2924512</v>
      </c>
      <c r="I142" s="226">
        <v>2046146</v>
      </c>
    </row>
    <row r="143" spans="1:9">
      <c r="A143" s="482"/>
      <c r="B143" s="326"/>
      <c r="C143" s="226"/>
      <c r="D143" s="241"/>
      <c r="E143" s="328"/>
      <c r="F143" s="482"/>
      <c r="G143" s="204" t="s">
        <v>1311</v>
      </c>
      <c r="H143" s="226">
        <v>272380</v>
      </c>
      <c r="I143" s="226"/>
    </row>
    <row r="144" spans="1:9">
      <c r="A144" s="482"/>
      <c r="B144" s="326" t="s">
        <v>512</v>
      </c>
      <c r="C144" s="226"/>
      <c r="D144" s="241"/>
      <c r="E144" s="328"/>
      <c r="F144" s="482"/>
      <c r="G144" s="204" t="s">
        <v>1312</v>
      </c>
      <c r="H144" s="226">
        <v>6449577</v>
      </c>
      <c r="I144" s="226">
        <v>11556673</v>
      </c>
    </row>
    <row r="145" spans="1:9">
      <c r="A145" s="482"/>
      <c r="B145" s="320" t="s">
        <v>688</v>
      </c>
      <c r="C145" s="226">
        <v>584113</v>
      </c>
      <c r="D145" s="241">
        <v>663441</v>
      </c>
      <c r="E145" s="328"/>
      <c r="F145" s="482"/>
      <c r="G145" s="204" t="s">
        <v>1314</v>
      </c>
      <c r="H145" s="219" t="s">
        <v>233</v>
      </c>
      <c r="I145" s="219" t="s">
        <v>233</v>
      </c>
    </row>
    <row r="146" spans="1:9">
      <c r="A146" s="482"/>
      <c r="B146" s="320" t="s">
        <v>687</v>
      </c>
      <c r="C146" s="226">
        <v>389533</v>
      </c>
      <c r="D146" s="241">
        <v>293679</v>
      </c>
      <c r="E146" s="328"/>
      <c r="F146" s="482"/>
      <c r="G146" s="204" t="s">
        <v>1313</v>
      </c>
      <c r="H146" s="226">
        <v>2198405</v>
      </c>
      <c r="I146" s="219" t="s">
        <v>233</v>
      </c>
    </row>
    <row r="147" spans="1:9">
      <c r="A147" s="482"/>
      <c r="B147" s="320" t="s">
        <v>686</v>
      </c>
      <c r="C147" s="226">
        <f>1391325</f>
        <v>1391325</v>
      </c>
      <c r="D147" s="241">
        <v>1316103</v>
      </c>
      <c r="E147" s="328"/>
      <c r="F147" s="482"/>
      <c r="G147" s="204" t="s">
        <v>1315</v>
      </c>
      <c r="H147" s="219" t="s">
        <v>233</v>
      </c>
      <c r="I147" s="219" t="s">
        <v>233</v>
      </c>
    </row>
    <row r="148" spans="1:9">
      <c r="A148" s="482"/>
      <c r="B148" s="320" t="s">
        <v>685</v>
      </c>
      <c r="C148" s="226">
        <v>2539983</v>
      </c>
      <c r="D148" s="241">
        <v>1942675</v>
      </c>
      <c r="E148" s="328"/>
      <c r="F148" s="482"/>
      <c r="G148" s="204" t="s">
        <v>1316</v>
      </c>
      <c r="H148" s="226">
        <v>148380</v>
      </c>
      <c r="I148" s="219" t="s">
        <v>233</v>
      </c>
    </row>
    <row r="149" spans="1:9">
      <c r="A149" s="482"/>
      <c r="B149" s="320" t="s">
        <v>684</v>
      </c>
      <c r="C149" s="226">
        <f>12370014+12808</f>
        <v>12382822</v>
      </c>
      <c r="D149" s="241">
        <v>8282929</v>
      </c>
      <c r="E149" s="328"/>
      <c r="F149" s="482"/>
      <c r="G149" s="204" t="s">
        <v>1317</v>
      </c>
      <c r="H149" s="226">
        <v>658632</v>
      </c>
      <c r="I149" s="226">
        <v>4670</v>
      </c>
    </row>
    <row r="150" spans="1:9">
      <c r="A150" s="482"/>
      <c r="B150" s="320" t="s">
        <v>683</v>
      </c>
      <c r="C150" s="226">
        <v>750410</v>
      </c>
      <c r="D150" s="241">
        <v>717259</v>
      </c>
      <c r="E150" s="328"/>
      <c r="F150" s="482"/>
      <c r="G150" s="204" t="s">
        <v>1318</v>
      </c>
      <c r="H150" s="226">
        <v>221562</v>
      </c>
      <c r="I150" s="226">
        <v>86396</v>
      </c>
    </row>
    <row r="151" spans="1:9">
      <c r="A151" s="482"/>
      <c r="B151" s="320" t="s">
        <v>682</v>
      </c>
      <c r="C151" s="226">
        <v>1011300</v>
      </c>
      <c r="D151" s="241">
        <v>760875</v>
      </c>
      <c r="E151" s="328"/>
      <c r="F151" s="482"/>
      <c r="G151" s="204" t="s">
        <v>1319</v>
      </c>
      <c r="H151" s="219" t="s">
        <v>233</v>
      </c>
      <c r="I151" s="219" t="s">
        <v>233</v>
      </c>
    </row>
    <row r="152" spans="1:9">
      <c r="A152" s="482"/>
      <c r="B152" s="320" t="s">
        <v>681</v>
      </c>
      <c r="C152" s="226">
        <v>679976</v>
      </c>
      <c r="D152" s="241">
        <v>853552</v>
      </c>
      <c r="E152" s="328"/>
      <c r="F152" s="482"/>
      <c r="G152" s="204" t="s">
        <v>1320</v>
      </c>
      <c r="H152" s="226">
        <v>2995218</v>
      </c>
      <c r="I152" s="226">
        <v>4488940</v>
      </c>
    </row>
    <row r="153" spans="1:9">
      <c r="A153" s="482"/>
      <c r="B153" s="320" t="s">
        <v>680</v>
      </c>
      <c r="C153" s="226">
        <v>431574</v>
      </c>
      <c r="D153" s="241">
        <v>476102</v>
      </c>
      <c r="E153" s="328"/>
      <c r="F153" s="482"/>
      <c r="G153" s="204" t="s">
        <v>1321</v>
      </c>
      <c r="H153" s="226">
        <v>4433601</v>
      </c>
      <c r="I153" s="226">
        <v>33803</v>
      </c>
    </row>
    <row r="154" spans="1:9">
      <c r="A154" s="482"/>
      <c r="B154" s="320" t="s">
        <v>1200</v>
      </c>
      <c r="C154" s="219" t="s">
        <v>233</v>
      </c>
      <c r="D154" s="241">
        <v>79045</v>
      </c>
      <c r="E154" s="328"/>
      <c r="F154" s="482"/>
      <c r="G154" s="204" t="s">
        <v>699</v>
      </c>
      <c r="H154" s="219" t="s">
        <v>233</v>
      </c>
      <c r="I154" s="219" t="s">
        <v>233</v>
      </c>
    </row>
    <row r="155" spans="1:9">
      <c r="A155" s="482"/>
      <c r="B155" s="320" t="s">
        <v>1201</v>
      </c>
      <c r="C155" s="219" t="s">
        <v>233</v>
      </c>
      <c r="D155" s="219" t="s">
        <v>233</v>
      </c>
      <c r="E155" s="328"/>
      <c r="F155" s="482"/>
      <c r="G155" s="204" t="s">
        <v>1322</v>
      </c>
      <c r="H155" s="219" t="s">
        <v>233</v>
      </c>
      <c r="I155" s="226">
        <v>920</v>
      </c>
    </row>
    <row r="156" spans="1:9">
      <c r="A156" s="482"/>
      <c r="B156" s="320" t="s">
        <v>1202</v>
      </c>
      <c r="C156" s="219" t="s">
        <v>233</v>
      </c>
      <c r="D156" s="219" t="s">
        <v>233</v>
      </c>
      <c r="E156" s="328"/>
      <c r="F156" s="482"/>
      <c r="G156" s="204" t="s">
        <v>1323</v>
      </c>
      <c r="H156" s="226">
        <v>1289462</v>
      </c>
      <c r="I156" s="219" t="s">
        <v>233</v>
      </c>
    </row>
    <row r="157" spans="1:9">
      <c r="A157" s="482"/>
      <c r="B157" s="320" t="s">
        <v>1203</v>
      </c>
      <c r="C157" s="226">
        <v>404487</v>
      </c>
      <c r="D157" s="219" t="s">
        <v>233</v>
      </c>
      <c r="E157" s="328"/>
      <c r="F157" s="482"/>
      <c r="G157" s="204" t="s">
        <v>1324</v>
      </c>
      <c r="H157" s="226">
        <v>31662</v>
      </c>
      <c r="I157" s="219" t="s">
        <v>233</v>
      </c>
    </row>
    <row r="158" spans="1:9">
      <c r="A158" s="482"/>
      <c r="B158" s="320"/>
      <c r="C158" s="226"/>
      <c r="D158" s="241"/>
      <c r="E158" s="328"/>
      <c r="F158" s="204"/>
      <c r="G158" s="204" t="s">
        <v>1325</v>
      </c>
      <c r="H158" s="226">
        <f>84774+8410</f>
        <v>93184</v>
      </c>
      <c r="I158" s="226">
        <v>9345</v>
      </c>
    </row>
    <row r="159" spans="1:9">
      <c r="A159" s="482"/>
      <c r="B159" s="326" t="s">
        <v>294</v>
      </c>
      <c r="C159" s="226"/>
      <c r="D159" s="241"/>
      <c r="E159" s="328"/>
      <c r="F159" s="204"/>
      <c r="G159" s="204" t="s">
        <v>698</v>
      </c>
      <c r="H159" s="219" t="s">
        <v>233</v>
      </c>
      <c r="I159" s="219" t="s">
        <v>233</v>
      </c>
    </row>
    <row r="160" spans="1:9">
      <c r="A160" s="482"/>
      <c r="B160" s="320" t="s">
        <v>1204</v>
      </c>
      <c r="C160" s="226">
        <v>15400</v>
      </c>
      <c r="D160" s="241">
        <v>2200</v>
      </c>
      <c r="E160" s="328"/>
      <c r="F160" s="204"/>
      <c r="G160" s="204" t="s">
        <v>825</v>
      </c>
      <c r="H160" s="219" t="s">
        <v>233</v>
      </c>
      <c r="I160" s="219" t="s">
        <v>233</v>
      </c>
    </row>
    <row r="161" spans="1:12">
      <c r="A161" s="482"/>
      <c r="B161" s="320" t="s">
        <v>1205</v>
      </c>
      <c r="C161" s="226">
        <v>2000</v>
      </c>
      <c r="D161" s="241">
        <v>1000</v>
      </c>
      <c r="E161" s="328"/>
      <c r="F161" s="204"/>
      <c r="G161" s="204" t="s">
        <v>1326</v>
      </c>
      <c r="H161" s="226">
        <v>7904</v>
      </c>
      <c r="I161" s="226">
        <v>321118</v>
      </c>
    </row>
    <row r="162" spans="1:12">
      <c r="A162" s="482"/>
      <c r="B162" s="320" t="s">
        <v>1206</v>
      </c>
      <c r="C162" s="226">
        <v>1440</v>
      </c>
      <c r="D162" s="241">
        <v>720</v>
      </c>
      <c r="E162" s="328"/>
      <c r="F162" s="322"/>
      <c r="G162" s="204" t="s">
        <v>826</v>
      </c>
      <c r="H162" s="226">
        <v>4075585</v>
      </c>
      <c r="I162" s="219" t="s">
        <v>233</v>
      </c>
    </row>
    <row r="163" spans="1:12">
      <c r="A163" s="482"/>
      <c r="B163" s="320" t="s">
        <v>1207</v>
      </c>
      <c r="C163" s="226">
        <v>370700</v>
      </c>
      <c r="D163" s="241">
        <f>92200</f>
        <v>92200</v>
      </c>
      <c r="E163" s="328"/>
      <c r="F163" s="320"/>
      <c r="G163" s="204" t="s">
        <v>1327</v>
      </c>
      <c r="H163" s="226">
        <v>40304</v>
      </c>
      <c r="I163" s="226">
        <v>144662</v>
      </c>
    </row>
    <row r="164" spans="1:12">
      <c r="A164" s="482"/>
      <c r="B164" s="320" t="s">
        <v>1208</v>
      </c>
      <c r="C164" s="226">
        <v>6989500</v>
      </c>
      <c r="D164" s="241">
        <v>5798770</v>
      </c>
      <c r="E164" s="328"/>
      <c r="F164" s="204"/>
      <c r="G164" s="204" t="s">
        <v>1328</v>
      </c>
      <c r="H164" s="226">
        <v>150905</v>
      </c>
      <c r="I164" s="226">
        <v>102959</v>
      </c>
    </row>
    <row r="165" spans="1:12">
      <c r="A165" s="482"/>
      <c r="B165" s="320" t="s">
        <v>1209</v>
      </c>
      <c r="C165" s="226">
        <v>1168680</v>
      </c>
      <c r="D165" s="241">
        <v>787400</v>
      </c>
      <c r="E165" s="328"/>
      <c r="F165" s="204"/>
      <c r="G165" s="204" t="s">
        <v>827</v>
      </c>
      <c r="H165" s="226">
        <v>60000</v>
      </c>
      <c r="I165" s="226">
        <v>89554</v>
      </c>
    </row>
    <row r="166" spans="1:12">
      <c r="A166" s="482"/>
      <c r="B166" s="320" t="s">
        <v>1210</v>
      </c>
      <c r="C166" s="219" t="s">
        <v>233</v>
      </c>
      <c r="D166" s="219" t="s">
        <v>233</v>
      </c>
      <c r="E166" s="328"/>
      <c r="F166" s="204"/>
      <c r="G166" s="204" t="s">
        <v>1329</v>
      </c>
      <c r="H166" s="226">
        <v>7003156</v>
      </c>
      <c r="I166" s="219" t="s">
        <v>233</v>
      </c>
    </row>
    <row r="167" spans="1:12">
      <c r="A167" s="486"/>
      <c r="B167" s="320" t="s">
        <v>1211</v>
      </c>
      <c r="C167" s="226">
        <v>39267</v>
      </c>
      <c r="D167" s="241">
        <v>96000</v>
      </c>
      <c r="E167" s="328"/>
      <c r="F167" s="204"/>
      <c r="G167" s="204" t="s">
        <v>828</v>
      </c>
      <c r="H167" s="226">
        <v>189529</v>
      </c>
      <c r="I167" s="219" t="s">
        <v>233</v>
      </c>
    </row>
    <row r="168" spans="1:12">
      <c r="A168" s="226"/>
      <c r="B168" s="320" t="s">
        <v>1212</v>
      </c>
      <c r="C168" s="226">
        <v>340000</v>
      </c>
      <c r="D168" s="226">
        <v>300000</v>
      </c>
      <c r="E168" s="328"/>
      <c r="F168" s="204"/>
      <c r="G168" s="204" t="s">
        <v>1330</v>
      </c>
      <c r="H168" s="219" t="s">
        <v>233</v>
      </c>
      <c r="I168" s="226">
        <v>938027</v>
      </c>
    </row>
    <row r="169" spans="1:12">
      <c r="A169" s="482"/>
      <c r="B169" s="320" t="s">
        <v>1213</v>
      </c>
      <c r="C169" s="226">
        <v>3600</v>
      </c>
      <c r="D169" s="226">
        <v>1800</v>
      </c>
      <c r="E169" s="328"/>
      <c r="F169" s="204"/>
      <c r="G169" s="204" t="s">
        <v>1331</v>
      </c>
      <c r="H169" s="226">
        <v>165000</v>
      </c>
      <c r="I169" s="226">
        <v>150000</v>
      </c>
    </row>
    <row r="170" spans="1:12">
      <c r="A170" s="482"/>
      <c r="B170" s="320" t="s">
        <v>1214</v>
      </c>
      <c r="C170" s="219" t="s">
        <v>233</v>
      </c>
      <c r="D170" s="226">
        <v>7997</v>
      </c>
      <c r="E170" s="328"/>
      <c r="F170" s="485"/>
      <c r="G170" s="318" t="s">
        <v>1417</v>
      </c>
      <c r="H170" s="226"/>
      <c r="I170" s="226"/>
      <c r="L170" s="445"/>
    </row>
    <row r="171" spans="1:12">
      <c r="A171" s="482"/>
      <c r="B171" s="320" t="s">
        <v>1215</v>
      </c>
      <c r="C171" s="226">
        <v>10211695</v>
      </c>
      <c r="D171" s="226">
        <v>9995179</v>
      </c>
      <c r="E171" s="328"/>
      <c r="F171" s="482"/>
      <c r="G171" s="204" t="s">
        <v>63</v>
      </c>
      <c r="H171" s="219" t="s">
        <v>233</v>
      </c>
      <c r="I171" s="219" t="s">
        <v>233</v>
      </c>
      <c r="K171" s="446"/>
    </row>
    <row r="172" spans="1:12">
      <c r="A172" s="482"/>
      <c r="B172" s="320" t="s">
        <v>1216</v>
      </c>
      <c r="C172" s="219" t="s">
        <v>233</v>
      </c>
      <c r="D172" s="219" t="s">
        <v>233</v>
      </c>
      <c r="E172" s="328"/>
      <c r="F172" s="485"/>
      <c r="G172" s="204" t="s">
        <v>64</v>
      </c>
      <c r="H172" s="219" t="s">
        <v>233</v>
      </c>
      <c r="I172" s="219" t="s">
        <v>233</v>
      </c>
    </row>
    <row r="173" spans="1:12">
      <c r="A173" s="482"/>
      <c r="B173" s="320" t="s">
        <v>1217</v>
      </c>
      <c r="C173" s="219" t="s">
        <v>233</v>
      </c>
      <c r="D173" s="241">
        <v>2200</v>
      </c>
      <c r="E173" s="328"/>
      <c r="F173" s="482"/>
      <c r="G173" s="204" t="s">
        <v>65</v>
      </c>
      <c r="H173" s="219" t="s">
        <v>233</v>
      </c>
      <c r="I173" s="226"/>
    </row>
    <row r="174" spans="1:12">
      <c r="A174" s="482"/>
      <c r="B174" s="320" t="s">
        <v>1218</v>
      </c>
      <c r="C174" s="226">
        <f>120366+34107721</f>
        <v>34228087</v>
      </c>
      <c r="D174" s="241">
        <v>28653177</v>
      </c>
      <c r="E174" s="328"/>
      <c r="F174" s="442"/>
      <c r="G174" s="204" t="s">
        <v>703</v>
      </c>
      <c r="H174" s="219" t="s">
        <v>233</v>
      </c>
      <c r="I174" s="219" t="s">
        <v>233</v>
      </c>
    </row>
    <row r="175" spans="1:12">
      <c r="A175" s="482"/>
      <c r="B175" s="320" t="s">
        <v>1219</v>
      </c>
      <c r="C175" s="226">
        <v>2156725</v>
      </c>
      <c r="D175" s="241">
        <v>1985850</v>
      </c>
      <c r="E175" s="328"/>
      <c r="F175" s="482"/>
      <c r="G175" s="204" t="s">
        <v>702</v>
      </c>
      <c r="H175" s="219" t="s">
        <v>233</v>
      </c>
      <c r="I175" s="219" t="s">
        <v>233</v>
      </c>
    </row>
    <row r="176" spans="1:12">
      <c r="A176" s="482"/>
      <c r="B176" s="320" t="s">
        <v>1220</v>
      </c>
      <c r="C176" s="226">
        <v>24576885</v>
      </c>
      <c r="D176" s="241">
        <v>21065461</v>
      </c>
      <c r="E176" s="328"/>
      <c r="F176" s="249"/>
      <c r="G176" s="204" t="s">
        <v>66</v>
      </c>
      <c r="H176" s="219" t="s">
        <v>233</v>
      </c>
      <c r="I176" s="219" t="s">
        <v>233</v>
      </c>
    </row>
    <row r="177" spans="1:9">
      <c r="A177" s="482"/>
      <c r="B177" s="320" t="s">
        <v>1221</v>
      </c>
      <c r="C177" s="219" t="s">
        <v>233</v>
      </c>
      <c r="D177" s="219" t="s">
        <v>233</v>
      </c>
      <c r="E177" s="328"/>
      <c r="F177" s="482"/>
      <c r="G177" s="204" t="s">
        <v>700</v>
      </c>
      <c r="H177" s="226">
        <v>4208211</v>
      </c>
      <c r="I177" s="226">
        <v>4264500</v>
      </c>
    </row>
    <row r="178" spans="1:9">
      <c r="A178" s="482"/>
      <c r="B178" s="320" t="s">
        <v>1222</v>
      </c>
      <c r="C178" s="219" t="s">
        <v>233</v>
      </c>
      <c r="D178" s="241">
        <v>440</v>
      </c>
      <c r="E178" s="328"/>
      <c r="F178" s="482"/>
      <c r="G178" s="204" t="s">
        <v>701</v>
      </c>
      <c r="H178" s="226">
        <f>33056003+3693055</f>
        <v>36749058</v>
      </c>
      <c r="I178" s="226">
        <v>15224930</v>
      </c>
    </row>
    <row r="179" spans="1:9">
      <c r="A179" s="482"/>
      <c r="B179" s="320" t="s">
        <v>1393</v>
      </c>
      <c r="C179" s="226">
        <v>166600</v>
      </c>
      <c r="D179" s="241">
        <v>159450</v>
      </c>
      <c r="E179" s="328"/>
      <c r="F179" s="204"/>
      <c r="G179" s="204"/>
      <c r="H179" s="226"/>
      <c r="I179" s="226"/>
    </row>
    <row r="180" spans="1:9">
      <c r="A180" s="482"/>
      <c r="B180" s="320" t="s">
        <v>1394</v>
      </c>
      <c r="C180" s="219" t="s">
        <v>233</v>
      </c>
      <c r="D180" s="241">
        <v>9000</v>
      </c>
      <c r="E180" s="328"/>
      <c r="F180" s="204"/>
      <c r="G180" s="318" t="s">
        <v>835</v>
      </c>
      <c r="H180" s="226"/>
      <c r="I180" s="226"/>
    </row>
    <row r="181" spans="1:9" ht="16.5" thickBot="1">
      <c r="A181" s="483"/>
      <c r="B181" s="331" t="s">
        <v>1395</v>
      </c>
      <c r="C181" s="255">
        <v>3229455</v>
      </c>
      <c r="D181" s="247">
        <v>2589719</v>
      </c>
      <c r="E181" s="511"/>
      <c r="F181" s="323"/>
      <c r="G181" s="323" t="s">
        <v>829</v>
      </c>
      <c r="H181" s="255">
        <f>1683154+1317411+4034089+8655916</f>
        <v>15690570</v>
      </c>
      <c r="I181" s="255">
        <f>856141+1228646+661260+3119924</f>
        <v>5865971</v>
      </c>
    </row>
    <row r="182" spans="1:9">
      <c r="A182" s="549"/>
      <c r="C182" s="549"/>
      <c r="E182" s="550"/>
      <c r="F182" s="317"/>
      <c r="H182" s="549"/>
      <c r="I182" s="549" t="s">
        <v>1458</v>
      </c>
    </row>
    <row r="183" spans="1:9">
      <c r="A183" s="549"/>
      <c r="C183" s="549"/>
      <c r="E183" s="550"/>
      <c r="F183" s="317"/>
      <c r="H183" s="549"/>
      <c r="I183" s="549"/>
    </row>
    <row r="184" spans="1:9">
      <c r="A184" s="549"/>
      <c r="C184" s="549"/>
      <c r="E184" s="550"/>
      <c r="F184" s="317"/>
      <c r="H184" s="549"/>
      <c r="I184" s="549"/>
    </row>
    <row r="185" spans="1:9">
      <c r="A185" s="570" t="s">
        <v>1446</v>
      </c>
      <c r="B185" s="570"/>
      <c r="C185" s="570"/>
      <c r="D185" s="570"/>
      <c r="E185" s="570"/>
      <c r="F185" s="570"/>
      <c r="G185" s="570"/>
      <c r="H185" s="570"/>
      <c r="I185" s="570"/>
    </row>
    <row r="186" spans="1:9" ht="16.5" thickBot="1">
      <c r="A186" s="499"/>
      <c r="C186" s="499"/>
      <c r="E186" s="500"/>
      <c r="F186" s="317"/>
      <c r="H186" s="499"/>
      <c r="I186" s="499"/>
    </row>
    <row r="187" spans="1:9">
      <c r="A187" s="484"/>
      <c r="B187" s="506" t="s">
        <v>1396</v>
      </c>
      <c r="C187" s="374" t="s">
        <v>233</v>
      </c>
      <c r="D187" s="374" t="s">
        <v>233</v>
      </c>
      <c r="E187" s="509"/>
      <c r="F187" s="324"/>
      <c r="G187" s="324" t="s">
        <v>957</v>
      </c>
      <c r="H187" s="225">
        <v>18208</v>
      </c>
      <c r="I187" s="225">
        <v>33557</v>
      </c>
    </row>
    <row r="188" spans="1:9">
      <c r="A188" s="249"/>
      <c r="B188" s="320" t="s">
        <v>1415</v>
      </c>
      <c r="C188" s="226">
        <v>85212</v>
      </c>
      <c r="D188" s="226">
        <v>42606</v>
      </c>
      <c r="E188" s="328"/>
      <c r="F188" s="204"/>
      <c r="G188" s="204" t="s">
        <v>958</v>
      </c>
      <c r="H188" s="226">
        <f>375596+109949</f>
        <v>485545</v>
      </c>
      <c r="I188" s="226">
        <v>283889</v>
      </c>
    </row>
    <row r="189" spans="1:9">
      <c r="A189" s="249"/>
      <c r="B189" s="320"/>
      <c r="C189" s="226"/>
      <c r="D189" s="219"/>
      <c r="E189" s="328"/>
      <c r="F189" s="204"/>
      <c r="G189" s="204" t="s">
        <v>959</v>
      </c>
      <c r="H189" s="226">
        <v>23</v>
      </c>
      <c r="I189" s="226">
        <v>33</v>
      </c>
    </row>
    <row r="190" spans="1:9">
      <c r="A190" s="249"/>
      <c r="B190" s="320"/>
      <c r="C190" s="226"/>
      <c r="D190" s="241"/>
      <c r="E190" s="328"/>
      <c r="F190" s="204"/>
      <c r="G190" s="204" t="s">
        <v>1085</v>
      </c>
      <c r="H190" s="226">
        <v>2524646</v>
      </c>
      <c r="I190" s="226">
        <v>4756075</v>
      </c>
    </row>
    <row r="191" spans="1:9">
      <c r="A191" s="249"/>
      <c r="B191" s="320"/>
      <c r="C191" s="226"/>
      <c r="D191" s="241"/>
      <c r="E191" s="328"/>
      <c r="F191" s="204"/>
      <c r="G191" s="204"/>
      <c r="H191" s="226"/>
      <c r="I191" s="226"/>
    </row>
    <row r="192" spans="1:9">
      <c r="A192" s="485"/>
      <c r="B192" s="326" t="s">
        <v>459</v>
      </c>
      <c r="C192" s="226">
        <f>153119+6334500</f>
        <v>6487619</v>
      </c>
      <c r="D192" s="241">
        <v>4785074</v>
      </c>
      <c r="E192" s="328"/>
      <c r="F192" s="204"/>
      <c r="G192" s="318" t="s">
        <v>463</v>
      </c>
      <c r="H192" s="219" t="s">
        <v>233</v>
      </c>
      <c r="I192" s="219" t="s">
        <v>233</v>
      </c>
    </row>
    <row r="193" spans="1:9">
      <c r="A193" s="485"/>
      <c r="B193" s="326" t="s">
        <v>832</v>
      </c>
      <c r="C193" s="226">
        <v>55239</v>
      </c>
      <c r="D193" s="241">
        <v>160238</v>
      </c>
      <c r="E193" s="328"/>
      <c r="F193" s="318"/>
      <c r="G193" s="204"/>
      <c r="H193" s="226"/>
      <c r="I193" s="226"/>
    </row>
    <row r="194" spans="1:9">
      <c r="A194" s="482"/>
      <c r="B194" s="320"/>
      <c r="C194" s="226"/>
      <c r="D194" s="241"/>
      <c r="E194" s="328"/>
      <c r="F194" s="318"/>
      <c r="G194" s="204"/>
      <c r="H194" s="226"/>
      <c r="I194" s="226"/>
    </row>
    <row r="195" spans="1:9">
      <c r="A195" s="482"/>
      <c r="B195" s="326" t="s">
        <v>835</v>
      </c>
      <c r="C195" s="226"/>
      <c r="D195" s="241"/>
      <c r="E195" s="328"/>
      <c r="F195" s="485"/>
      <c r="G195" s="318" t="s">
        <v>737</v>
      </c>
      <c r="H195" s="226"/>
      <c r="I195" s="226"/>
    </row>
    <row r="196" spans="1:9">
      <c r="A196" s="482"/>
      <c r="B196" s="320" t="s">
        <v>829</v>
      </c>
      <c r="C196" s="226">
        <f>1154661+1176855+3220786+6824251</f>
        <v>12376553</v>
      </c>
      <c r="D196" s="241">
        <v>9180738</v>
      </c>
      <c r="E196" s="328"/>
      <c r="F196" s="485"/>
      <c r="G196" s="318" t="s">
        <v>768</v>
      </c>
      <c r="H196" s="219" t="s">
        <v>233</v>
      </c>
      <c r="I196" s="219" t="s">
        <v>233</v>
      </c>
    </row>
    <row r="197" spans="1:9">
      <c r="A197" s="482"/>
      <c r="B197" s="320" t="s">
        <v>837</v>
      </c>
      <c r="C197" s="226">
        <v>33069</v>
      </c>
      <c r="D197" s="241">
        <v>35036</v>
      </c>
      <c r="E197" s="328"/>
      <c r="F197" s="249"/>
      <c r="G197" s="204"/>
      <c r="H197" s="226"/>
      <c r="I197" s="226"/>
    </row>
    <row r="198" spans="1:9">
      <c r="A198" s="482"/>
      <c r="B198" s="320" t="s">
        <v>830</v>
      </c>
      <c r="C198" s="226">
        <f>375596+109949</f>
        <v>485545</v>
      </c>
      <c r="D198" s="241">
        <v>283889</v>
      </c>
      <c r="E198" s="328"/>
      <c r="F198" s="480" t="s">
        <v>1172</v>
      </c>
      <c r="G198" s="480" t="s">
        <v>1173</v>
      </c>
      <c r="H198" s="219" t="s">
        <v>233</v>
      </c>
      <c r="I198" s="219" t="s">
        <v>233</v>
      </c>
    </row>
    <row r="199" spans="1:9">
      <c r="A199" s="482"/>
      <c r="B199" s="320" t="s">
        <v>836</v>
      </c>
      <c r="C199" s="226">
        <v>23</v>
      </c>
      <c r="D199" s="241">
        <v>33</v>
      </c>
      <c r="E199" s="328"/>
      <c r="F199" s="249"/>
      <c r="G199" s="318"/>
      <c r="H199" s="226"/>
      <c r="I199" s="226"/>
    </row>
    <row r="200" spans="1:9">
      <c r="A200" s="482"/>
      <c r="B200" s="320" t="s">
        <v>1223</v>
      </c>
      <c r="C200" s="226">
        <v>2524646</v>
      </c>
      <c r="D200" s="241">
        <v>4756075</v>
      </c>
      <c r="E200" s="328"/>
      <c r="F200" s="249"/>
      <c r="G200" s="318" t="s">
        <v>645</v>
      </c>
      <c r="H200" s="226"/>
      <c r="I200" s="226"/>
    </row>
    <row r="201" spans="1:9">
      <c r="A201" s="482"/>
      <c r="B201" s="320"/>
      <c r="C201" s="226"/>
      <c r="D201" s="241"/>
      <c r="E201" s="328"/>
      <c r="F201" s="249"/>
      <c r="G201" s="204" t="s">
        <v>707</v>
      </c>
      <c r="H201" s="219" t="s">
        <v>233</v>
      </c>
      <c r="I201" s="219" t="s">
        <v>233</v>
      </c>
    </row>
    <row r="202" spans="1:9">
      <c r="A202" s="482"/>
      <c r="B202" s="326" t="s">
        <v>449</v>
      </c>
      <c r="C202" s="226"/>
      <c r="D202" s="241"/>
      <c r="E202" s="328"/>
      <c r="F202" s="249"/>
      <c r="G202" s="204" t="s">
        <v>706</v>
      </c>
      <c r="H202" s="219" t="s">
        <v>233</v>
      </c>
      <c r="I202" s="219" t="s">
        <v>233</v>
      </c>
    </row>
    <row r="203" spans="1:9" s="337" customFormat="1">
      <c r="A203" s="482"/>
      <c r="B203" s="241" t="s">
        <v>677</v>
      </c>
      <c r="C203" s="226">
        <v>8708</v>
      </c>
      <c r="D203" s="219" t="s">
        <v>233</v>
      </c>
      <c r="E203" s="328"/>
      <c r="F203" s="249"/>
      <c r="G203" s="204" t="s">
        <v>704</v>
      </c>
      <c r="H203" s="219" t="s">
        <v>233</v>
      </c>
      <c r="I203" s="219" t="s">
        <v>233</v>
      </c>
    </row>
    <row r="204" spans="1:9">
      <c r="A204" s="482"/>
      <c r="B204" s="241" t="s">
        <v>1416</v>
      </c>
      <c r="C204" s="226"/>
      <c r="D204" s="219"/>
      <c r="E204" s="328"/>
      <c r="F204" s="249"/>
      <c r="G204" s="204" t="s">
        <v>705</v>
      </c>
      <c r="H204" s="219" t="s">
        <v>233</v>
      </c>
      <c r="I204" s="219" t="s">
        <v>233</v>
      </c>
    </row>
    <row r="205" spans="1:9">
      <c r="A205" s="442"/>
      <c r="B205" s="320" t="s">
        <v>769</v>
      </c>
      <c r="C205" s="226">
        <v>4512172</v>
      </c>
      <c r="D205" s="226">
        <v>8057416</v>
      </c>
      <c r="E205" s="328"/>
      <c r="F205" s="249"/>
      <c r="G205" s="204"/>
      <c r="H205" s="226"/>
      <c r="I205" s="226"/>
    </row>
    <row r="206" spans="1:9">
      <c r="A206" s="482"/>
      <c r="B206" s="320" t="s">
        <v>516</v>
      </c>
      <c r="C206" s="226"/>
      <c r="D206" s="336"/>
      <c r="E206" s="328"/>
      <c r="F206" s="485"/>
      <c r="G206" s="318" t="s">
        <v>1153</v>
      </c>
      <c r="H206" s="226"/>
      <c r="I206" s="226"/>
    </row>
    <row r="207" spans="1:9">
      <c r="A207" s="482"/>
      <c r="B207" s="320" t="s">
        <v>447</v>
      </c>
      <c r="C207" s="226">
        <v>101400</v>
      </c>
      <c r="D207" s="241">
        <v>99450</v>
      </c>
      <c r="E207" s="328"/>
      <c r="F207" s="249"/>
      <c r="G207" s="318" t="s">
        <v>67</v>
      </c>
      <c r="H207" s="226"/>
      <c r="I207" s="226"/>
    </row>
    <row r="208" spans="1:9">
      <c r="A208" s="482"/>
      <c r="B208" s="320" t="s">
        <v>448</v>
      </c>
      <c r="C208" s="226">
        <v>289230</v>
      </c>
      <c r="D208" s="241">
        <v>145990</v>
      </c>
      <c r="E208" s="328"/>
      <c r="F208" s="485"/>
      <c r="G208" s="204" t="s">
        <v>709</v>
      </c>
      <c r="H208" s="219" t="s">
        <v>233</v>
      </c>
      <c r="I208" s="219" t="s">
        <v>233</v>
      </c>
    </row>
    <row r="209" spans="1:9">
      <c r="A209" s="482"/>
      <c r="B209" s="320" t="s">
        <v>460</v>
      </c>
      <c r="C209" s="226">
        <v>5205</v>
      </c>
      <c r="D209" s="241">
        <v>5255</v>
      </c>
      <c r="E209" s="328"/>
      <c r="F209" s="482"/>
      <c r="G209" s="204" t="s">
        <v>708</v>
      </c>
      <c r="H209" s="219" t="s">
        <v>233</v>
      </c>
      <c r="I209" s="219" t="s">
        <v>233</v>
      </c>
    </row>
    <row r="210" spans="1:9">
      <c r="A210" s="249"/>
      <c r="B210" s="320" t="s">
        <v>678</v>
      </c>
      <c r="C210" s="226"/>
      <c r="D210" s="241"/>
      <c r="E210" s="328"/>
      <c r="F210" s="482"/>
      <c r="G210" s="204"/>
      <c r="H210" s="226"/>
      <c r="I210" s="226"/>
    </row>
    <row r="211" spans="1:9">
      <c r="A211" s="249"/>
      <c r="B211" s="320" t="s">
        <v>444</v>
      </c>
      <c r="C211" s="226">
        <v>114000</v>
      </c>
      <c r="D211" s="241">
        <v>152000</v>
      </c>
      <c r="E211" s="328"/>
      <c r="F211" s="482"/>
      <c r="G211" s="318" t="s">
        <v>68</v>
      </c>
      <c r="H211" s="226"/>
      <c r="I211" s="226"/>
    </row>
    <row r="212" spans="1:9">
      <c r="A212" s="249"/>
      <c r="B212" s="320" t="s">
        <v>445</v>
      </c>
      <c r="C212" s="226">
        <v>350200</v>
      </c>
      <c r="D212" s="241">
        <v>359720</v>
      </c>
      <c r="E212" s="328"/>
      <c r="F212" s="482"/>
      <c r="G212" s="204" t="s">
        <v>717</v>
      </c>
      <c r="H212" s="219" t="s">
        <v>233</v>
      </c>
      <c r="I212" s="219" t="s">
        <v>233</v>
      </c>
    </row>
    <row r="213" spans="1:9">
      <c r="A213" s="249"/>
      <c r="B213" s="320" t="s">
        <v>509</v>
      </c>
      <c r="C213" s="226">
        <v>269700</v>
      </c>
      <c r="D213" s="241">
        <v>268700</v>
      </c>
      <c r="E213" s="328"/>
      <c r="F213" s="482"/>
      <c r="G213" s="204" t="s">
        <v>716</v>
      </c>
      <c r="H213" s="219" t="s">
        <v>233</v>
      </c>
      <c r="I213" s="219" t="s">
        <v>233</v>
      </c>
    </row>
    <row r="214" spans="1:9">
      <c r="A214" s="249"/>
      <c r="B214" s="320" t="s">
        <v>446</v>
      </c>
      <c r="C214" s="226">
        <v>30000</v>
      </c>
      <c r="D214" s="219" t="s">
        <v>233</v>
      </c>
      <c r="E214" s="328"/>
      <c r="F214" s="482"/>
      <c r="G214" s="204" t="s">
        <v>715</v>
      </c>
      <c r="H214" s="219" t="s">
        <v>233</v>
      </c>
      <c r="I214" s="219" t="s">
        <v>233</v>
      </c>
    </row>
    <row r="215" spans="1:9">
      <c r="A215" s="249"/>
      <c r="B215" s="320" t="s">
        <v>679</v>
      </c>
      <c r="C215" s="226">
        <v>2456000</v>
      </c>
      <c r="D215" s="241">
        <v>4217345</v>
      </c>
      <c r="E215" s="328"/>
      <c r="F215" s="482"/>
      <c r="G215" s="204" t="s">
        <v>714</v>
      </c>
      <c r="H215" s="219" t="s">
        <v>233</v>
      </c>
      <c r="I215" s="219" t="s">
        <v>233</v>
      </c>
    </row>
    <row r="216" spans="1:9">
      <c r="A216" s="249"/>
      <c r="B216" s="320"/>
      <c r="C216" s="226"/>
      <c r="D216" s="241"/>
      <c r="E216" s="328"/>
      <c r="F216" s="482"/>
      <c r="G216" s="204" t="s">
        <v>713</v>
      </c>
      <c r="H216" s="219" t="s">
        <v>233</v>
      </c>
      <c r="I216" s="219" t="s">
        <v>233</v>
      </c>
    </row>
    <row r="217" spans="1:9">
      <c r="A217" s="249"/>
      <c r="B217" s="320" t="s">
        <v>1224</v>
      </c>
      <c r="C217" s="226">
        <v>3407478</v>
      </c>
      <c r="D217" s="241">
        <v>194571</v>
      </c>
      <c r="E217" s="328"/>
      <c r="F217" s="482"/>
      <c r="G217" s="204" t="s">
        <v>712</v>
      </c>
      <c r="H217" s="219" t="s">
        <v>233</v>
      </c>
      <c r="I217" s="219" t="s">
        <v>233</v>
      </c>
    </row>
    <row r="218" spans="1:9">
      <c r="A218" s="249"/>
      <c r="B218" s="320"/>
      <c r="C218" s="226"/>
      <c r="D218" s="241"/>
      <c r="E218" s="328"/>
      <c r="F218" s="482"/>
      <c r="G218" s="204" t="s">
        <v>711</v>
      </c>
      <c r="H218" s="219" t="s">
        <v>233</v>
      </c>
      <c r="I218" s="219" t="s">
        <v>233</v>
      </c>
    </row>
    <row r="219" spans="1:9">
      <c r="A219" s="249"/>
      <c r="B219" s="320" t="s">
        <v>1133</v>
      </c>
      <c r="C219" s="226">
        <v>19620</v>
      </c>
      <c r="D219" s="241"/>
      <c r="E219" s="328"/>
      <c r="F219" s="482"/>
      <c r="G219" s="204" t="s">
        <v>710</v>
      </c>
      <c r="H219" s="226"/>
      <c r="I219" s="226">
        <v>78755</v>
      </c>
    </row>
    <row r="220" spans="1:9">
      <c r="A220" s="482"/>
      <c r="B220" s="320"/>
      <c r="C220" s="226"/>
      <c r="D220" s="241"/>
      <c r="E220" s="328"/>
      <c r="F220" s="482"/>
      <c r="G220" s="204" t="s">
        <v>1414</v>
      </c>
      <c r="H220" s="226">
        <v>984</v>
      </c>
      <c r="I220" s="226">
        <v>589</v>
      </c>
    </row>
    <row r="221" spans="1:9">
      <c r="A221" s="318" t="s">
        <v>1168</v>
      </c>
      <c r="B221" s="326" t="s">
        <v>1169</v>
      </c>
      <c r="C221" s="226"/>
      <c r="D221" s="241"/>
      <c r="E221" s="328"/>
      <c r="F221" s="249"/>
      <c r="G221" s="442"/>
      <c r="H221" s="226"/>
      <c r="I221" s="226"/>
    </row>
    <row r="222" spans="1:9">
      <c r="A222" s="318"/>
      <c r="B222" s="336" t="s">
        <v>328</v>
      </c>
      <c r="C222" s="226"/>
      <c r="D222" s="241"/>
      <c r="E222" s="328"/>
      <c r="F222" s="249"/>
      <c r="G222" s="318" t="s">
        <v>69</v>
      </c>
      <c r="H222" s="329"/>
      <c r="I222" s="329"/>
    </row>
    <row r="223" spans="1:9">
      <c r="A223" s="482"/>
      <c r="B223" s="320"/>
      <c r="C223" s="226"/>
      <c r="D223" s="241"/>
      <c r="E223" s="328"/>
      <c r="F223" s="249"/>
      <c r="G223" s="204" t="s">
        <v>718</v>
      </c>
      <c r="H223" s="219" t="s">
        <v>233</v>
      </c>
      <c r="I223" s="219" t="s">
        <v>233</v>
      </c>
    </row>
    <row r="224" spans="1:9">
      <c r="A224" s="482"/>
      <c r="B224" s="320" t="s">
        <v>1397</v>
      </c>
      <c r="C224" s="219" t="s">
        <v>233</v>
      </c>
      <c r="D224" s="219" t="s">
        <v>233</v>
      </c>
      <c r="E224" s="328"/>
      <c r="F224" s="249"/>
      <c r="G224" s="204" t="s">
        <v>719</v>
      </c>
      <c r="H224" s="219" t="s">
        <v>233</v>
      </c>
      <c r="I224" s="219" t="s">
        <v>233</v>
      </c>
    </row>
    <row r="225" spans="1:11">
      <c r="A225" s="249"/>
      <c r="B225" s="320" t="s">
        <v>1398</v>
      </c>
      <c r="C225" s="219" t="s">
        <v>233</v>
      </c>
      <c r="D225" s="219" t="s">
        <v>233</v>
      </c>
      <c r="E225" s="328"/>
      <c r="F225" s="249"/>
      <c r="G225" s="204" t="s">
        <v>1122</v>
      </c>
      <c r="H225" s="226">
        <v>109000</v>
      </c>
      <c r="I225" s="226"/>
    </row>
    <row r="226" spans="1:11">
      <c r="A226" s="249"/>
      <c r="B226" s="241" t="s">
        <v>1399</v>
      </c>
      <c r="C226" s="219" t="s">
        <v>233</v>
      </c>
      <c r="D226" s="219" t="s">
        <v>233</v>
      </c>
      <c r="E226" s="328"/>
      <c r="F226" s="249"/>
      <c r="G226" s="204" t="s">
        <v>1123</v>
      </c>
      <c r="H226" s="339"/>
      <c r="I226" s="226"/>
    </row>
    <row r="227" spans="1:11">
      <c r="A227" s="249"/>
      <c r="B227" s="241" t="s">
        <v>1400</v>
      </c>
      <c r="C227" s="219" t="s">
        <v>233</v>
      </c>
      <c r="D227" s="219" t="s">
        <v>233</v>
      </c>
      <c r="E227" s="328"/>
      <c r="F227" s="249"/>
      <c r="G227" s="204"/>
      <c r="H227" s="320"/>
      <c r="I227" s="226"/>
    </row>
    <row r="228" spans="1:11">
      <c r="A228" s="249"/>
      <c r="B228" s="241" t="s">
        <v>1401</v>
      </c>
      <c r="C228" s="219" t="s">
        <v>233</v>
      </c>
      <c r="D228" s="219" t="s">
        <v>233</v>
      </c>
      <c r="E228" s="328"/>
      <c r="F228" s="442" t="s">
        <v>1174</v>
      </c>
      <c r="G228" s="318" t="s">
        <v>1</v>
      </c>
      <c r="H228" s="320"/>
      <c r="I228" s="226"/>
    </row>
    <row r="229" spans="1:11">
      <c r="A229" s="249"/>
      <c r="B229" s="241" t="s">
        <v>1402</v>
      </c>
      <c r="C229" s="219" t="s">
        <v>233</v>
      </c>
      <c r="D229" s="219" t="s">
        <v>233</v>
      </c>
      <c r="E229" s="328"/>
      <c r="F229" s="249"/>
      <c r="G229" s="318"/>
      <c r="H229" s="226"/>
      <c r="I229" s="226"/>
    </row>
    <row r="230" spans="1:11">
      <c r="A230" s="249"/>
      <c r="B230" s="241" t="s">
        <v>1403</v>
      </c>
      <c r="C230" s="226">
        <v>541540</v>
      </c>
      <c r="D230" s="241">
        <v>431500</v>
      </c>
      <c r="E230" s="328"/>
      <c r="F230" s="249"/>
      <c r="G230" s="318" t="s">
        <v>53</v>
      </c>
      <c r="H230" s="226"/>
      <c r="I230" s="226"/>
    </row>
    <row r="231" spans="1:11">
      <c r="A231" s="249"/>
      <c r="B231" s="320" t="s">
        <v>1404</v>
      </c>
      <c r="C231" s="226"/>
      <c r="D231" s="219" t="s">
        <v>233</v>
      </c>
      <c r="E231" s="328"/>
      <c r="F231" s="442"/>
      <c r="G231" s="204" t="s">
        <v>720</v>
      </c>
      <c r="H231" s="226">
        <v>117000</v>
      </c>
      <c r="I231" s="226">
        <v>3900</v>
      </c>
    </row>
    <row r="232" spans="1:11">
      <c r="A232" s="249"/>
      <c r="B232" s="320" t="s">
        <v>1405</v>
      </c>
      <c r="C232" s="226"/>
      <c r="D232" s="219" t="s">
        <v>233</v>
      </c>
      <c r="E232" s="328"/>
      <c r="F232" s="482"/>
      <c r="G232" s="204" t="s">
        <v>721</v>
      </c>
      <c r="H232" s="226">
        <v>3470</v>
      </c>
      <c r="I232" s="226">
        <v>12195</v>
      </c>
    </row>
    <row r="233" spans="1:11">
      <c r="A233" s="252"/>
      <c r="B233" s="320" t="s">
        <v>1406</v>
      </c>
      <c r="C233" s="226">
        <v>68752</v>
      </c>
      <c r="D233" s="219"/>
      <c r="E233" s="328"/>
      <c r="F233" s="482"/>
      <c r="G233" s="204" t="s">
        <v>722</v>
      </c>
      <c r="H233" s="226">
        <v>195900</v>
      </c>
      <c r="I233" s="226">
        <v>174605</v>
      </c>
    </row>
    <row r="234" spans="1:11">
      <c r="A234" s="252"/>
      <c r="B234" s="320" t="s">
        <v>1407</v>
      </c>
      <c r="C234" s="226">
        <v>10</v>
      </c>
      <c r="D234" s="241">
        <v>182108</v>
      </c>
      <c r="E234" s="328"/>
      <c r="F234" s="482"/>
      <c r="G234" s="204"/>
      <c r="H234" s="226"/>
      <c r="I234" s="226"/>
    </row>
    <row r="235" spans="1:11">
      <c r="A235" s="252"/>
      <c r="B235" s="320" t="s">
        <v>1408</v>
      </c>
      <c r="C235" s="226">
        <v>96920</v>
      </c>
      <c r="D235" s="241"/>
      <c r="E235" s="328"/>
      <c r="F235" s="482"/>
      <c r="G235" s="318" t="s">
        <v>70</v>
      </c>
      <c r="H235" s="226"/>
      <c r="I235" s="226"/>
    </row>
    <row r="236" spans="1:11">
      <c r="A236" s="252"/>
      <c r="B236" s="320" t="s">
        <v>1409</v>
      </c>
      <c r="C236" s="226">
        <v>150000</v>
      </c>
      <c r="D236" s="241"/>
      <c r="E236" s="328"/>
      <c r="F236" s="249"/>
      <c r="G236" s="204" t="s">
        <v>723</v>
      </c>
      <c r="H236" s="226">
        <v>689860</v>
      </c>
      <c r="I236" s="226">
        <v>647275</v>
      </c>
    </row>
    <row r="237" spans="1:11">
      <c r="A237" s="252"/>
      <c r="B237" s="320"/>
      <c r="C237" s="226"/>
      <c r="D237" s="241"/>
      <c r="E237" s="328"/>
      <c r="F237" s="249"/>
      <c r="G237" s="204"/>
      <c r="H237" s="226"/>
      <c r="I237" s="226"/>
      <c r="K237" s="510"/>
    </row>
    <row r="238" spans="1:11">
      <c r="A238" s="326" t="s">
        <v>1170</v>
      </c>
      <c r="B238" s="326" t="s">
        <v>1171</v>
      </c>
      <c r="C238" s="226">
        <v>3077928</v>
      </c>
      <c r="D238" s="241">
        <f>3389198-40000</f>
        <v>3349198</v>
      </c>
      <c r="E238" s="328"/>
      <c r="F238" s="249"/>
      <c r="G238" s="204"/>
      <c r="H238" s="226"/>
      <c r="I238" s="226"/>
    </row>
    <row r="239" spans="1:11">
      <c r="A239" s="485"/>
      <c r="B239" s="320"/>
      <c r="C239" s="226"/>
      <c r="D239" s="241"/>
      <c r="E239" s="328"/>
      <c r="F239" s="249"/>
      <c r="G239" s="318" t="s">
        <v>71</v>
      </c>
      <c r="H239" s="226"/>
      <c r="I239" s="226"/>
    </row>
    <row r="240" spans="1:11">
      <c r="A240" s="482"/>
      <c r="B240" s="320" t="s">
        <v>644</v>
      </c>
      <c r="C240" s="226"/>
      <c r="D240" s="241"/>
      <c r="E240" s="328"/>
      <c r="F240" s="482"/>
      <c r="G240" s="204" t="s">
        <v>724</v>
      </c>
      <c r="H240" s="226">
        <v>80000</v>
      </c>
      <c r="I240" s="226">
        <v>4000</v>
      </c>
    </row>
    <row r="241" spans="1:9">
      <c r="A241" s="249"/>
      <c r="B241" s="320" t="s">
        <v>675</v>
      </c>
      <c r="C241" s="226">
        <v>2810724</v>
      </c>
      <c r="D241" s="219" t="s">
        <v>233</v>
      </c>
      <c r="E241" s="328"/>
      <c r="F241" s="482"/>
      <c r="G241" s="204" t="s">
        <v>725</v>
      </c>
      <c r="H241" s="226">
        <v>654320</v>
      </c>
      <c r="I241" s="226">
        <v>324360</v>
      </c>
    </row>
    <row r="242" spans="1:9">
      <c r="A242" s="249"/>
      <c r="B242" s="320" t="s">
        <v>676</v>
      </c>
      <c r="C242" s="219" t="s">
        <v>233</v>
      </c>
      <c r="D242" s="219" t="s">
        <v>233</v>
      </c>
      <c r="E242" s="328"/>
      <c r="F242" s="482"/>
      <c r="G242" s="204" t="s">
        <v>726</v>
      </c>
      <c r="H242" s="226"/>
      <c r="I242" s="226"/>
    </row>
    <row r="243" spans="1:9" ht="16.5" thickBot="1">
      <c r="A243" s="342"/>
      <c r="B243" s="331" t="s">
        <v>650</v>
      </c>
      <c r="C243" s="335" t="s">
        <v>233</v>
      </c>
      <c r="D243" s="335" t="s">
        <v>233</v>
      </c>
      <c r="E243" s="511"/>
      <c r="F243" s="483"/>
      <c r="G243" s="323" t="s">
        <v>727</v>
      </c>
      <c r="H243" s="255">
        <v>150</v>
      </c>
      <c r="I243" s="335" t="s">
        <v>233</v>
      </c>
    </row>
    <row r="244" spans="1:9">
      <c r="A244" s="209"/>
      <c r="C244" s="546"/>
      <c r="D244" s="546"/>
      <c r="E244" s="550"/>
      <c r="F244" s="549"/>
      <c r="H244" s="549"/>
      <c r="I244" s="549" t="s">
        <v>1459</v>
      </c>
    </row>
    <row r="245" spans="1:9">
      <c r="A245" s="209"/>
      <c r="C245" s="546"/>
      <c r="D245" s="546"/>
      <c r="E245" s="550"/>
      <c r="F245" s="549"/>
      <c r="H245" s="549"/>
      <c r="I245" s="546"/>
    </row>
    <row r="246" spans="1:9">
      <c r="A246" s="570" t="s">
        <v>1445</v>
      </c>
      <c r="B246" s="570"/>
      <c r="C246" s="570"/>
      <c r="D246" s="570"/>
      <c r="E246" s="570"/>
      <c r="F246" s="570"/>
      <c r="G246" s="570"/>
      <c r="H246" s="570"/>
      <c r="I246" s="570"/>
    </row>
    <row r="247" spans="1:9" ht="16.5" thickBot="1">
      <c r="A247" s="209"/>
      <c r="C247" s="498"/>
      <c r="D247" s="498"/>
      <c r="E247" s="500"/>
      <c r="F247" s="499"/>
      <c r="H247" s="499"/>
      <c r="I247" s="498"/>
    </row>
    <row r="248" spans="1:9">
      <c r="A248" s="444"/>
      <c r="B248" s="506" t="s">
        <v>673</v>
      </c>
      <c r="C248" s="374" t="s">
        <v>233</v>
      </c>
      <c r="D248" s="374" t="s">
        <v>233</v>
      </c>
      <c r="E248" s="509"/>
      <c r="F248" s="484"/>
      <c r="G248" s="324"/>
      <c r="H248" s="225"/>
      <c r="I248" s="225"/>
    </row>
    <row r="249" spans="1:9">
      <c r="A249" s="249"/>
      <c r="B249" s="320" t="s">
        <v>960</v>
      </c>
      <c r="C249" s="219" t="s">
        <v>233</v>
      </c>
      <c r="D249" s="219" t="s">
        <v>233</v>
      </c>
      <c r="E249" s="328"/>
      <c r="F249" s="318" t="s">
        <v>1175</v>
      </c>
      <c r="G249" s="318" t="s">
        <v>1171</v>
      </c>
      <c r="H249" s="226">
        <v>3323990</v>
      </c>
      <c r="I249" s="226">
        <v>4292305</v>
      </c>
    </row>
    <row r="250" spans="1:9">
      <c r="A250" s="249"/>
      <c r="B250" s="320" t="s">
        <v>674</v>
      </c>
      <c r="C250" s="219" t="s">
        <v>233</v>
      </c>
      <c r="D250" s="219" t="s">
        <v>233</v>
      </c>
      <c r="E250" s="328"/>
      <c r="F250" s="482"/>
      <c r="G250" s="204"/>
      <c r="H250" s="226"/>
      <c r="I250" s="226"/>
    </row>
    <row r="251" spans="1:9">
      <c r="A251" s="249"/>
      <c r="B251" s="320" t="s">
        <v>961</v>
      </c>
      <c r="C251" s="219" t="s">
        <v>233</v>
      </c>
      <c r="D251" s="219" t="s">
        <v>233</v>
      </c>
      <c r="E251" s="328"/>
      <c r="F251" s="318" t="s">
        <v>1162</v>
      </c>
      <c r="G251" s="442" t="s">
        <v>1169</v>
      </c>
      <c r="H251" s="226"/>
      <c r="I251" s="226"/>
    </row>
    <row r="252" spans="1:9">
      <c r="A252" s="249"/>
      <c r="B252" s="320"/>
      <c r="C252" s="226"/>
      <c r="D252" s="241"/>
      <c r="E252" s="328"/>
      <c r="F252" s="249"/>
      <c r="G252" s="442" t="s">
        <v>327</v>
      </c>
      <c r="H252" s="226"/>
      <c r="I252" s="226"/>
    </row>
    <row r="253" spans="1:9">
      <c r="A253" s="482"/>
      <c r="B253" s="326" t="s">
        <v>508</v>
      </c>
      <c r="C253" s="226"/>
      <c r="D253" s="241"/>
      <c r="E253" s="328"/>
      <c r="F253" s="249"/>
      <c r="G253" s="204" t="s">
        <v>1332</v>
      </c>
      <c r="H253" s="226">
        <f>1671572+252</f>
        <v>1671824</v>
      </c>
      <c r="I253" s="226">
        <v>1815222</v>
      </c>
    </row>
    <row r="254" spans="1:9" s="337" customFormat="1">
      <c r="A254" s="482"/>
      <c r="B254" s="320" t="s">
        <v>1114</v>
      </c>
      <c r="C254" s="219" t="s">
        <v>233</v>
      </c>
      <c r="D254" s="241">
        <v>6400</v>
      </c>
      <c r="E254" s="328"/>
      <c r="F254" s="249"/>
      <c r="G254" s="204" t="s">
        <v>1333</v>
      </c>
      <c r="H254" s="219" t="s">
        <v>233</v>
      </c>
      <c r="I254" s="226">
        <v>23583</v>
      </c>
    </row>
    <row r="255" spans="1:9">
      <c r="A255" s="482"/>
      <c r="B255" s="320"/>
      <c r="C255" s="226"/>
      <c r="D255" s="241"/>
      <c r="E255" s="328"/>
      <c r="F255" s="249"/>
      <c r="G255" s="204" t="s">
        <v>1334</v>
      </c>
      <c r="H255" s="226">
        <v>112700</v>
      </c>
      <c r="I255" s="226">
        <v>109100</v>
      </c>
    </row>
    <row r="256" spans="1:9">
      <c r="A256" s="482"/>
      <c r="B256" s="326" t="s">
        <v>834</v>
      </c>
      <c r="C256" s="226"/>
      <c r="D256" s="219" t="s">
        <v>233</v>
      </c>
      <c r="E256" s="328"/>
      <c r="F256" s="482"/>
      <c r="G256" s="204" t="s">
        <v>1335</v>
      </c>
      <c r="H256" s="226">
        <v>3634332</v>
      </c>
      <c r="I256" s="226">
        <v>4229065</v>
      </c>
    </row>
    <row r="257" spans="1:9">
      <c r="A257" s="249"/>
      <c r="B257" s="320"/>
      <c r="C257" s="226"/>
      <c r="D257" s="241"/>
      <c r="E257" s="328"/>
      <c r="F257" s="482"/>
      <c r="G257" s="204" t="s">
        <v>1336</v>
      </c>
      <c r="H257" s="226">
        <v>35426</v>
      </c>
      <c r="I257" s="226">
        <v>7054</v>
      </c>
    </row>
    <row r="258" spans="1:9">
      <c r="A258" s="249"/>
      <c r="B258" s="320"/>
      <c r="C258" s="226"/>
      <c r="D258" s="241"/>
      <c r="E258" s="328"/>
      <c r="F258" s="482"/>
      <c r="G258" s="249" t="s">
        <v>1337</v>
      </c>
      <c r="H258" s="219" t="s">
        <v>233</v>
      </c>
      <c r="I258" s="219" t="s">
        <v>233</v>
      </c>
    </row>
    <row r="259" spans="1:9">
      <c r="A259" s="249"/>
      <c r="B259" s="320"/>
      <c r="C259" s="226"/>
      <c r="D259" s="241"/>
      <c r="E259" s="328"/>
      <c r="F259" s="482"/>
      <c r="G259" s="249" t="s">
        <v>1338</v>
      </c>
      <c r="H259" s="226"/>
      <c r="I259" s="226"/>
    </row>
    <row r="260" spans="1:9">
      <c r="A260" s="249"/>
      <c r="B260" s="320"/>
      <c r="C260" s="226"/>
      <c r="D260" s="241"/>
      <c r="E260" s="328"/>
      <c r="F260" s="482"/>
      <c r="G260" s="249" t="s">
        <v>1339</v>
      </c>
      <c r="H260" s="226">
        <v>2888357</v>
      </c>
      <c r="I260" s="226">
        <v>1467930</v>
      </c>
    </row>
    <row r="261" spans="1:9">
      <c r="A261" s="249"/>
      <c r="B261" s="241"/>
      <c r="C261" s="226"/>
      <c r="D261" s="241"/>
      <c r="E261" s="328"/>
      <c r="F261" s="482"/>
      <c r="G261" s="249" t="s">
        <v>1340</v>
      </c>
      <c r="H261" s="226">
        <v>1417575</v>
      </c>
      <c r="I261" s="226">
        <v>938051</v>
      </c>
    </row>
    <row r="262" spans="1:9">
      <c r="A262" s="482"/>
      <c r="B262" s="241"/>
      <c r="C262" s="226"/>
      <c r="D262" s="241"/>
      <c r="E262" s="328"/>
      <c r="F262" s="482"/>
      <c r="G262" s="249" t="s">
        <v>1341</v>
      </c>
      <c r="H262" s="219" t="s">
        <v>233</v>
      </c>
      <c r="I262" s="219" t="s">
        <v>233</v>
      </c>
    </row>
    <row r="263" spans="1:9">
      <c r="A263" s="482"/>
      <c r="B263" s="241"/>
      <c r="C263" s="226"/>
      <c r="D263" s="241"/>
      <c r="E263" s="328"/>
      <c r="F263" s="482"/>
      <c r="G263" s="249" t="s">
        <v>1342</v>
      </c>
      <c r="H263" s="226">
        <v>1503220</v>
      </c>
      <c r="I263" s="226">
        <v>4079512</v>
      </c>
    </row>
    <row r="264" spans="1:9">
      <c r="A264" s="482"/>
      <c r="B264" s="241"/>
      <c r="C264" s="226"/>
      <c r="D264" s="241"/>
      <c r="E264" s="328"/>
      <c r="F264" s="482"/>
      <c r="G264" s="249" t="s">
        <v>1343</v>
      </c>
      <c r="H264" s="226">
        <v>1062591</v>
      </c>
      <c r="I264" s="226">
        <v>2513527</v>
      </c>
    </row>
    <row r="265" spans="1:9">
      <c r="A265" s="249"/>
      <c r="B265" s="241"/>
      <c r="C265" s="226"/>
      <c r="D265" s="241"/>
      <c r="E265" s="328"/>
      <c r="F265" s="482"/>
      <c r="G265" s="249" t="s">
        <v>1344</v>
      </c>
      <c r="H265" s="226">
        <v>217950</v>
      </c>
      <c r="I265" s="226">
        <v>204156</v>
      </c>
    </row>
    <row r="266" spans="1:9">
      <c r="A266" s="249"/>
      <c r="B266" s="320"/>
      <c r="C266" s="226"/>
      <c r="D266" s="241"/>
      <c r="E266" s="328"/>
      <c r="F266" s="482"/>
      <c r="G266" s="249" t="s">
        <v>1345</v>
      </c>
      <c r="H266" s="226">
        <v>3345293</v>
      </c>
      <c r="I266" s="226">
        <v>1950420</v>
      </c>
    </row>
    <row r="267" spans="1:9">
      <c r="A267" s="249"/>
      <c r="B267" s="320"/>
      <c r="C267" s="226"/>
      <c r="D267" s="241"/>
      <c r="E267" s="328"/>
      <c r="F267" s="482"/>
      <c r="G267" s="249" t="s">
        <v>1346</v>
      </c>
      <c r="H267" s="226">
        <v>21090</v>
      </c>
      <c r="I267" s="226">
        <v>3330</v>
      </c>
    </row>
    <row r="268" spans="1:9">
      <c r="A268" s="482"/>
      <c r="B268" s="320"/>
      <c r="C268" s="226"/>
      <c r="D268" s="241"/>
      <c r="E268" s="328"/>
      <c r="F268" s="482"/>
      <c r="G268" s="249" t="s">
        <v>1347</v>
      </c>
      <c r="H268" s="226">
        <v>749634</v>
      </c>
      <c r="I268" s="226"/>
    </row>
    <row r="269" spans="1:9">
      <c r="A269" s="482"/>
      <c r="B269" s="320"/>
      <c r="C269" s="226"/>
      <c r="D269" s="241"/>
      <c r="E269" s="328"/>
      <c r="F269" s="482"/>
      <c r="G269" s="249" t="s">
        <v>1348</v>
      </c>
      <c r="H269" s="226">
        <v>3562676</v>
      </c>
      <c r="I269" s="226"/>
    </row>
    <row r="270" spans="1:9">
      <c r="A270" s="482"/>
      <c r="B270" s="320"/>
      <c r="C270" s="226"/>
      <c r="D270" s="241"/>
      <c r="E270" s="328"/>
      <c r="F270" s="482"/>
      <c r="G270" s="249"/>
      <c r="H270" s="226"/>
      <c r="I270" s="226"/>
    </row>
    <row r="271" spans="1:9">
      <c r="A271" s="482"/>
      <c r="B271" s="320"/>
      <c r="C271" s="226"/>
      <c r="D271" s="241"/>
      <c r="E271" s="328"/>
      <c r="F271" s="482"/>
      <c r="G271" s="442" t="s">
        <v>328</v>
      </c>
      <c r="H271" s="226"/>
      <c r="I271" s="226"/>
    </row>
    <row r="272" spans="1:9">
      <c r="A272" s="482"/>
      <c r="B272" s="320"/>
      <c r="C272" s="226"/>
      <c r="D272" s="241"/>
      <c r="E272" s="328"/>
      <c r="F272" s="482"/>
      <c r="G272" s="204" t="s">
        <v>733</v>
      </c>
      <c r="H272" s="219" t="s">
        <v>233</v>
      </c>
      <c r="I272" s="219" t="s">
        <v>233</v>
      </c>
    </row>
    <row r="273" spans="1:9">
      <c r="A273" s="482"/>
      <c r="B273" s="320"/>
      <c r="C273" s="226"/>
      <c r="D273" s="241"/>
      <c r="E273" s="328"/>
      <c r="F273" s="482"/>
      <c r="G273" s="204" t="s">
        <v>732</v>
      </c>
      <c r="H273" s="226"/>
      <c r="I273" s="226">
        <v>15000</v>
      </c>
    </row>
    <row r="274" spans="1:9">
      <c r="A274" s="482"/>
      <c r="B274" s="320"/>
      <c r="C274" s="226"/>
      <c r="D274" s="241"/>
      <c r="E274" s="328"/>
      <c r="F274" s="482"/>
      <c r="G274" s="204" t="s">
        <v>731</v>
      </c>
      <c r="H274" s="219" t="s">
        <v>233</v>
      </c>
      <c r="I274" s="219" t="s">
        <v>233</v>
      </c>
    </row>
    <row r="275" spans="1:9">
      <c r="A275" s="482"/>
      <c r="B275" s="320"/>
      <c r="C275" s="226"/>
      <c r="D275" s="241"/>
      <c r="E275" s="328"/>
      <c r="F275" s="482"/>
      <c r="G275" s="204" t="s">
        <v>730</v>
      </c>
      <c r="H275" s="219" t="s">
        <v>233</v>
      </c>
      <c r="I275" s="219" t="s">
        <v>233</v>
      </c>
    </row>
    <row r="276" spans="1:9">
      <c r="A276" s="482"/>
      <c r="B276" s="320"/>
      <c r="C276" s="226"/>
      <c r="D276" s="241"/>
      <c r="E276" s="328"/>
      <c r="F276" s="249"/>
      <c r="G276" s="204" t="s">
        <v>729</v>
      </c>
      <c r="H276" s="219" t="s">
        <v>233</v>
      </c>
      <c r="I276" s="219" t="s">
        <v>233</v>
      </c>
    </row>
    <row r="277" spans="1:9">
      <c r="A277" s="482"/>
      <c r="B277" s="320"/>
      <c r="C277" s="226"/>
      <c r="D277" s="241"/>
      <c r="E277" s="328"/>
      <c r="F277" s="249"/>
      <c r="G277" s="204" t="s">
        <v>1349</v>
      </c>
      <c r="H277" s="219" t="s">
        <v>233</v>
      </c>
      <c r="I277" s="219" t="s">
        <v>233</v>
      </c>
    </row>
    <row r="278" spans="1:9">
      <c r="A278" s="482"/>
      <c r="B278" s="320"/>
      <c r="C278" s="226"/>
      <c r="D278" s="241"/>
      <c r="E278" s="328"/>
      <c r="F278" s="249"/>
      <c r="G278" s="204" t="s">
        <v>1350</v>
      </c>
      <c r="H278" s="219" t="s">
        <v>233</v>
      </c>
      <c r="I278" s="219" t="s">
        <v>233</v>
      </c>
    </row>
    <row r="279" spans="1:9">
      <c r="A279" s="482"/>
      <c r="B279" s="320"/>
      <c r="C279" s="226"/>
      <c r="D279" s="241"/>
      <c r="E279" s="328"/>
      <c r="F279" s="249"/>
      <c r="G279" s="204" t="s">
        <v>1351</v>
      </c>
      <c r="H279" s="219" t="s">
        <v>233</v>
      </c>
      <c r="I279" s="219" t="s">
        <v>233</v>
      </c>
    </row>
    <row r="280" spans="1:9">
      <c r="A280" s="482"/>
      <c r="B280" s="320"/>
      <c r="C280" s="226"/>
      <c r="D280" s="241"/>
      <c r="E280" s="328"/>
      <c r="F280" s="249"/>
      <c r="G280" s="204" t="s">
        <v>728</v>
      </c>
      <c r="H280" s="219" t="s">
        <v>233</v>
      </c>
      <c r="I280" s="219" t="s">
        <v>233</v>
      </c>
    </row>
    <row r="281" spans="1:9">
      <c r="A281" s="482"/>
      <c r="B281" s="320"/>
      <c r="C281" s="226"/>
      <c r="D281" s="241"/>
      <c r="E281" s="328"/>
      <c r="F281" s="249"/>
      <c r="G281" s="204" t="s">
        <v>1352</v>
      </c>
      <c r="H281" s="226">
        <v>906540</v>
      </c>
      <c r="I281" s="226">
        <v>510000</v>
      </c>
    </row>
    <row r="282" spans="1:9">
      <c r="A282" s="482"/>
      <c r="B282" s="320"/>
      <c r="C282" s="226"/>
      <c r="D282" s="241"/>
      <c r="E282" s="328"/>
      <c r="F282" s="249"/>
      <c r="G282" s="204" t="s">
        <v>1353</v>
      </c>
      <c r="H282" s="219" t="s">
        <v>233</v>
      </c>
      <c r="I282" s="219" t="s">
        <v>233</v>
      </c>
    </row>
    <row r="283" spans="1:9">
      <c r="A283" s="482"/>
      <c r="B283" s="320"/>
      <c r="C283" s="226"/>
      <c r="D283" s="241"/>
      <c r="E283" s="328"/>
      <c r="F283" s="249"/>
      <c r="G283" s="204" t="s">
        <v>1354</v>
      </c>
      <c r="H283" s="219" t="s">
        <v>233</v>
      </c>
      <c r="I283" s="226">
        <v>162220</v>
      </c>
    </row>
    <row r="284" spans="1:9">
      <c r="A284" s="482"/>
      <c r="B284" s="320"/>
      <c r="C284" s="226"/>
      <c r="D284" s="241"/>
      <c r="E284" s="328"/>
      <c r="F284" s="249"/>
      <c r="G284" s="204" t="s">
        <v>1355</v>
      </c>
      <c r="H284" s="219" t="s">
        <v>233</v>
      </c>
      <c r="I284" s="226">
        <v>42000</v>
      </c>
    </row>
    <row r="285" spans="1:9">
      <c r="A285" s="482"/>
      <c r="B285" s="320"/>
      <c r="C285" s="226"/>
      <c r="D285" s="241"/>
      <c r="E285" s="328"/>
      <c r="F285" s="252"/>
      <c r="G285" s="204" t="s">
        <v>1356</v>
      </c>
      <c r="H285" s="219" t="s">
        <v>233</v>
      </c>
      <c r="I285" s="226">
        <v>170608</v>
      </c>
    </row>
    <row r="286" spans="1:9">
      <c r="A286" s="482"/>
      <c r="B286" s="320"/>
      <c r="C286" s="226"/>
      <c r="D286" s="241"/>
      <c r="E286" s="328"/>
      <c r="F286" s="252"/>
      <c r="G286" s="204" t="s">
        <v>1357</v>
      </c>
      <c r="H286" s="226">
        <v>25000</v>
      </c>
      <c r="I286" s="219" t="s">
        <v>233</v>
      </c>
    </row>
    <row r="287" spans="1:9">
      <c r="A287" s="482"/>
      <c r="B287" s="320"/>
      <c r="C287" s="226"/>
      <c r="D287" s="241"/>
      <c r="E287" s="328"/>
      <c r="F287" s="252"/>
      <c r="G287" s="204" t="s">
        <v>1358</v>
      </c>
      <c r="H287" s="226">
        <v>50000</v>
      </c>
      <c r="I287" s="226">
        <v>155000</v>
      </c>
    </row>
    <row r="288" spans="1:9">
      <c r="A288" s="482"/>
      <c r="B288" s="320"/>
      <c r="C288" s="226"/>
      <c r="D288" s="241"/>
      <c r="E288" s="328"/>
      <c r="F288" s="252"/>
      <c r="G288" s="249" t="s">
        <v>1359</v>
      </c>
      <c r="H288" s="226">
        <v>600000</v>
      </c>
      <c r="I288" s="219" t="s">
        <v>233</v>
      </c>
    </row>
    <row r="289" spans="1:9">
      <c r="A289" s="482"/>
      <c r="B289" s="320"/>
      <c r="C289" s="226"/>
      <c r="D289" s="241"/>
      <c r="E289" s="328"/>
      <c r="F289" s="482"/>
      <c r="G289" s="204"/>
      <c r="H289" s="226"/>
      <c r="I289" s="226"/>
    </row>
    <row r="290" spans="1:9">
      <c r="A290" s="482"/>
      <c r="B290" s="320"/>
      <c r="C290" s="226"/>
      <c r="D290" s="241"/>
      <c r="E290" s="328"/>
      <c r="F290" s="318" t="s">
        <v>1164</v>
      </c>
      <c r="G290" s="318" t="s">
        <v>1076</v>
      </c>
      <c r="H290" s="226"/>
      <c r="I290" s="226"/>
    </row>
    <row r="291" spans="1:9">
      <c r="A291" s="482"/>
      <c r="B291" s="320"/>
      <c r="C291" s="226"/>
      <c r="D291" s="241"/>
      <c r="E291" s="328"/>
      <c r="F291" s="485"/>
      <c r="G291" s="318"/>
      <c r="H291" s="226"/>
      <c r="I291" s="226"/>
    </row>
    <row r="292" spans="1:9">
      <c r="A292" s="482"/>
      <c r="B292" s="320"/>
      <c r="C292" s="226"/>
      <c r="D292" s="241"/>
      <c r="E292" s="328"/>
      <c r="F292" s="482"/>
      <c r="G292" s="318" t="s">
        <v>243</v>
      </c>
      <c r="H292" s="226"/>
      <c r="I292" s="226"/>
    </row>
    <row r="293" spans="1:9">
      <c r="A293" s="482"/>
      <c r="B293" s="320"/>
      <c r="C293" s="226"/>
      <c r="D293" s="241"/>
      <c r="E293" s="328"/>
      <c r="F293" s="482"/>
      <c r="G293" s="204" t="s">
        <v>669</v>
      </c>
      <c r="H293" s="219" t="s">
        <v>233</v>
      </c>
      <c r="I293" s="226">
        <v>259</v>
      </c>
    </row>
    <row r="294" spans="1:9">
      <c r="A294" s="482"/>
      <c r="B294" s="320"/>
      <c r="C294" s="226"/>
      <c r="D294" s="241"/>
      <c r="E294" s="328"/>
      <c r="F294" s="482"/>
      <c r="G294" s="204" t="s">
        <v>1360</v>
      </c>
      <c r="H294" s="226">
        <v>17170</v>
      </c>
      <c r="I294" s="226">
        <v>431</v>
      </c>
    </row>
    <row r="295" spans="1:9">
      <c r="A295" s="482"/>
      <c r="B295" s="320"/>
      <c r="C295" s="226"/>
      <c r="D295" s="241"/>
      <c r="E295" s="328"/>
      <c r="F295" s="482"/>
      <c r="G295" s="204" t="s">
        <v>1361</v>
      </c>
      <c r="H295" s="226">
        <v>30000</v>
      </c>
      <c r="I295" s="226">
        <v>30000</v>
      </c>
    </row>
    <row r="296" spans="1:9">
      <c r="A296" s="482"/>
      <c r="B296" s="320"/>
      <c r="C296" s="226"/>
      <c r="D296" s="241"/>
      <c r="E296" s="328"/>
      <c r="F296" s="482"/>
      <c r="G296" s="204" t="s">
        <v>1362</v>
      </c>
      <c r="H296" s="226">
        <v>1377</v>
      </c>
      <c r="I296" s="226">
        <v>1248</v>
      </c>
    </row>
    <row r="297" spans="1:9">
      <c r="A297" s="482"/>
      <c r="B297" s="320"/>
      <c r="C297" s="226"/>
      <c r="D297" s="241"/>
      <c r="E297" s="328"/>
      <c r="F297" s="482"/>
      <c r="G297" s="204" t="s">
        <v>1363</v>
      </c>
      <c r="H297" s="226">
        <v>1401</v>
      </c>
      <c r="I297" s="226">
        <v>11577</v>
      </c>
    </row>
    <row r="298" spans="1:9">
      <c r="A298" s="482"/>
      <c r="B298" s="320"/>
      <c r="C298" s="226"/>
      <c r="D298" s="241"/>
      <c r="E298" s="328"/>
      <c r="F298" s="491"/>
      <c r="G298" s="204"/>
      <c r="H298" s="226"/>
      <c r="I298" s="226"/>
    </row>
    <row r="299" spans="1:9">
      <c r="A299" s="486"/>
      <c r="B299" s="320"/>
      <c r="C299" s="226"/>
      <c r="D299" s="241"/>
      <c r="E299" s="328"/>
      <c r="F299" s="345"/>
      <c r="G299" s="318" t="s">
        <v>458</v>
      </c>
      <c r="H299" s="226">
        <v>102500</v>
      </c>
      <c r="I299" s="226">
        <v>98000</v>
      </c>
    </row>
    <row r="300" spans="1:9">
      <c r="A300" s="486"/>
      <c r="B300" s="320"/>
      <c r="C300" s="226"/>
      <c r="D300" s="241"/>
      <c r="E300" s="328"/>
      <c r="F300" s="345"/>
      <c r="G300" s="318"/>
      <c r="H300" s="226"/>
      <c r="I300" s="226"/>
    </row>
    <row r="301" spans="1:9">
      <c r="A301" s="486"/>
      <c r="B301" s="320"/>
      <c r="C301" s="226"/>
      <c r="D301" s="241"/>
      <c r="E301" s="328"/>
      <c r="F301" s="249"/>
      <c r="G301" s="318" t="s">
        <v>3</v>
      </c>
      <c r="H301" s="226"/>
      <c r="I301" s="226"/>
    </row>
    <row r="302" spans="1:9">
      <c r="A302" s="486"/>
      <c r="B302" s="320"/>
      <c r="C302" s="226"/>
      <c r="D302" s="241"/>
      <c r="E302" s="341"/>
      <c r="F302" s="249"/>
      <c r="G302" s="320" t="s">
        <v>1425</v>
      </c>
      <c r="H302" s="226">
        <v>107524799.56999999</v>
      </c>
      <c r="I302" s="226">
        <v>56276995.990000002</v>
      </c>
    </row>
    <row r="303" spans="1:9" ht="16.5" thickBot="1">
      <c r="A303" s="483"/>
      <c r="B303" s="331"/>
      <c r="C303" s="255"/>
      <c r="D303" s="247"/>
      <c r="E303" s="508"/>
      <c r="F303" s="483"/>
      <c r="G303" s="323" t="s">
        <v>1364</v>
      </c>
      <c r="H303" s="255">
        <f>352621276-897132</f>
        <v>351724144</v>
      </c>
      <c r="I303" s="255">
        <v>266724144</v>
      </c>
    </row>
    <row r="304" spans="1:9">
      <c r="A304" s="549"/>
      <c r="C304" s="549"/>
      <c r="F304" s="549"/>
      <c r="H304" s="549"/>
      <c r="I304" s="549" t="s">
        <v>1460</v>
      </c>
    </row>
    <row r="305" spans="1:9">
      <c r="A305" s="549"/>
      <c r="C305" s="549"/>
      <c r="F305" s="549"/>
      <c r="H305" s="549"/>
      <c r="I305" s="549"/>
    </row>
    <row r="306" spans="1:9">
      <c r="A306" s="549"/>
      <c r="C306" s="549"/>
      <c r="F306" s="549"/>
      <c r="H306" s="549"/>
      <c r="I306" s="549"/>
    </row>
    <row r="307" spans="1:9">
      <c r="A307" s="570" t="s">
        <v>1444</v>
      </c>
      <c r="B307" s="570"/>
      <c r="C307" s="570"/>
      <c r="D307" s="570"/>
      <c r="E307" s="570"/>
      <c r="F307" s="570"/>
      <c r="G307" s="570"/>
      <c r="H307" s="570"/>
      <c r="I307" s="570"/>
    </row>
    <row r="308" spans="1:9" ht="16.5" thickBot="1">
      <c r="A308" s="499"/>
      <c r="B308" s="514"/>
      <c r="C308" s="499"/>
      <c r="F308" s="499"/>
      <c r="H308" s="499"/>
      <c r="I308" s="499"/>
    </row>
    <row r="309" spans="1:9">
      <c r="A309" s="505"/>
      <c r="B309" s="506"/>
      <c r="C309" s="225"/>
      <c r="D309" s="240"/>
      <c r="E309" s="507"/>
      <c r="F309" s="484"/>
      <c r="G309" s="324" t="s">
        <v>671</v>
      </c>
      <c r="H309" s="226">
        <v>897.37</v>
      </c>
      <c r="I309" s="225">
        <v>897.37</v>
      </c>
    </row>
    <row r="310" spans="1:9">
      <c r="A310" s="226"/>
      <c r="B310" s="320"/>
      <c r="C310" s="226"/>
      <c r="D310" s="241"/>
      <c r="E310" s="341"/>
      <c r="F310" s="482"/>
      <c r="G310" s="204" t="s">
        <v>670</v>
      </c>
      <c r="H310" s="226">
        <v>897132</v>
      </c>
      <c r="I310" s="226">
        <v>897132</v>
      </c>
    </row>
    <row r="311" spans="1:9">
      <c r="A311" s="482"/>
      <c r="B311" s="320"/>
      <c r="C311" s="226"/>
      <c r="D311" s="241"/>
      <c r="E311" s="341"/>
      <c r="F311" s="482"/>
      <c r="G311" s="204" t="s">
        <v>1424</v>
      </c>
      <c r="H311" s="226">
        <v>1409160</v>
      </c>
      <c r="I311" s="226">
        <v>249773</v>
      </c>
    </row>
    <row r="312" spans="1:9">
      <c r="A312" s="482"/>
      <c r="B312" s="320"/>
      <c r="C312" s="226"/>
      <c r="D312" s="241"/>
      <c r="E312" s="341"/>
      <c r="F312" s="249"/>
      <c r="G312" s="204" t="s">
        <v>1143</v>
      </c>
      <c r="H312" s="226">
        <v>500000</v>
      </c>
      <c r="I312" s="226">
        <v>500000</v>
      </c>
    </row>
    <row r="313" spans="1:9">
      <c r="A313" s="482"/>
      <c r="B313" s="320"/>
      <c r="C313" s="226"/>
      <c r="D313" s="241"/>
      <c r="E313" s="341"/>
      <c r="F313" s="249"/>
      <c r="G313" s="204" t="s">
        <v>1365</v>
      </c>
      <c r="H313" s="226">
        <v>1993</v>
      </c>
      <c r="I313" s="226">
        <v>1993</v>
      </c>
    </row>
    <row r="314" spans="1:9">
      <c r="A314" s="482"/>
      <c r="B314" s="320"/>
      <c r="C314" s="226"/>
      <c r="D314" s="241"/>
      <c r="E314" s="341"/>
      <c r="F314" s="482"/>
      <c r="G314" s="320" t="s">
        <v>1426</v>
      </c>
      <c r="H314" s="226">
        <v>3991116.5</v>
      </c>
      <c r="I314" s="226">
        <v>3097623</v>
      </c>
    </row>
    <row r="315" spans="1:9">
      <c r="A315" s="482"/>
      <c r="B315" s="320"/>
      <c r="C315" s="226"/>
      <c r="D315" s="241"/>
      <c r="E315" s="341"/>
      <c r="F315" s="482"/>
      <c r="G315" s="320" t="s">
        <v>1427</v>
      </c>
      <c r="H315" s="226">
        <v>287085</v>
      </c>
      <c r="I315" s="226">
        <f>573147-40000</f>
        <v>533147</v>
      </c>
    </row>
    <row r="316" spans="1:9">
      <c r="A316" s="482"/>
      <c r="B316" s="320"/>
      <c r="C316" s="226"/>
      <c r="D316" s="241"/>
      <c r="E316" s="341"/>
      <c r="F316" s="482"/>
      <c r="G316" s="204" t="s">
        <v>1366</v>
      </c>
      <c r="H316" s="219" t="s">
        <v>233</v>
      </c>
      <c r="I316" s="219" t="s">
        <v>233</v>
      </c>
    </row>
    <row r="317" spans="1:9">
      <c r="A317" s="482"/>
      <c r="B317" s="320"/>
      <c r="C317" s="226"/>
      <c r="D317" s="241"/>
      <c r="E317" s="341"/>
      <c r="F317" s="482"/>
      <c r="G317" s="204" t="s">
        <v>1428</v>
      </c>
      <c r="H317" s="226">
        <v>22271066.5</v>
      </c>
      <c r="I317" s="226">
        <v>18790964</v>
      </c>
    </row>
    <row r="318" spans="1:9">
      <c r="A318" s="482"/>
      <c r="B318" s="320"/>
      <c r="C318" s="226"/>
      <c r="D318" s="241"/>
      <c r="E318" s="341"/>
      <c r="F318" s="482"/>
      <c r="G318" s="204" t="s">
        <v>1429</v>
      </c>
      <c r="H318" s="226">
        <v>12800</v>
      </c>
      <c r="I318" s="226">
        <v>125500</v>
      </c>
    </row>
    <row r="319" spans="1:9">
      <c r="A319" s="482"/>
      <c r="B319" s="320"/>
      <c r="C319" s="226"/>
      <c r="D319" s="241"/>
      <c r="E319" s="341"/>
      <c r="F319" s="482"/>
      <c r="G319" s="320" t="s">
        <v>1430</v>
      </c>
      <c r="H319" s="226">
        <v>3147168.5</v>
      </c>
      <c r="I319" s="226">
        <v>2571773</v>
      </c>
    </row>
    <row r="320" spans="1:9">
      <c r="A320" s="482"/>
      <c r="B320" s="320"/>
      <c r="C320" s="226"/>
      <c r="D320" s="241"/>
      <c r="E320" s="341"/>
      <c r="F320" s="482"/>
      <c r="G320" s="204" t="s">
        <v>1434</v>
      </c>
      <c r="H320" s="226">
        <v>265608</v>
      </c>
      <c r="I320" s="226">
        <v>226577</v>
      </c>
    </row>
    <row r="321" spans="1:9">
      <c r="A321" s="482"/>
      <c r="B321" s="320"/>
      <c r="C321" s="226"/>
      <c r="D321" s="241"/>
      <c r="E321" s="341"/>
      <c r="F321" s="482"/>
      <c r="G321" s="204" t="s">
        <v>1431</v>
      </c>
      <c r="H321" s="226">
        <v>14238657</v>
      </c>
      <c r="I321" s="226">
        <v>8083682</v>
      </c>
    </row>
    <row r="322" spans="1:9">
      <c r="A322" s="482"/>
      <c r="B322" s="320"/>
      <c r="C322" s="226"/>
      <c r="D322" s="241"/>
      <c r="E322" s="341"/>
      <c r="F322" s="482"/>
      <c r="G322" s="320" t="s">
        <v>1433</v>
      </c>
      <c r="H322" s="226">
        <v>5558517</v>
      </c>
      <c r="I322" s="226">
        <v>5804055</v>
      </c>
    </row>
    <row r="323" spans="1:9">
      <c r="A323" s="482"/>
      <c r="B323" s="320"/>
      <c r="C323" s="226"/>
      <c r="D323" s="241"/>
      <c r="E323" s="341"/>
      <c r="F323" s="482"/>
      <c r="G323" s="204" t="s">
        <v>1367</v>
      </c>
      <c r="H323" s="226">
        <v>3352.5</v>
      </c>
      <c r="I323" s="226">
        <v>853389.5</v>
      </c>
    </row>
    <row r="324" spans="1:9">
      <c r="A324" s="482"/>
      <c r="B324" s="320"/>
      <c r="C324" s="226"/>
      <c r="D324" s="241"/>
      <c r="E324" s="341"/>
      <c r="F324" s="482"/>
      <c r="G324" s="249" t="s">
        <v>1435</v>
      </c>
      <c r="H324" s="226">
        <v>54514</v>
      </c>
      <c r="I324" s="226">
        <v>52397</v>
      </c>
    </row>
    <row r="325" spans="1:9">
      <c r="A325" s="482"/>
      <c r="B325" s="320"/>
      <c r="C325" s="226"/>
      <c r="D325" s="241"/>
      <c r="E325" s="341"/>
      <c r="F325" s="482"/>
      <c r="G325" s="204" t="s">
        <v>1368</v>
      </c>
      <c r="H325" s="226">
        <v>14537</v>
      </c>
      <c r="I325" s="226">
        <v>13973</v>
      </c>
    </row>
    <row r="326" spans="1:9">
      <c r="A326" s="482"/>
      <c r="B326" s="241"/>
      <c r="C326" s="226"/>
      <c r="D326" s="241"/>
      <c r="E326" s="341"/>
      <c r="F326" s="249"/>
      <c r="G326" s="204" t="s">
        <v>1144</v>
      </c>
      <c r="H326" s="226"/>
      <c r="I326" s="226"/>
    </row>
    <row r="327" spans="1:9">
      <c r="A327" s="482"/>
      <c r="B327" s="241"/>
      <c r="C327" s="226"/>
      <c r="D327" s="241"/>
      <c r="E327" s="341"/>
      <c r="F327" s="249"/>
      <c r="G327" s="249" t="s">
        <v>1438</v>
      </c>
      <c r="H327" s="226">
        <v>3214311</v>
      </c>
      <c r="I327" s="226">
        <f>1112668+40000</f>
        <v>1152668</v>
      </c>
    </row>
    <row r="328" spans="1:9">
      <c r="A328" s="482"/>
      <c r="B328" s="241"/>
      <c r="C328" s="226"/>
      <c r="D328" s="241"/>
      <c r="E328" s="341"/>
      <c r="F328" s="249"/>
      <c r="G328" s="204" t="s">
        <v>1423</v>
      </c>
      <c r="H328" s="226">
        <v>148797</v>
      </c>
      <c r="I328" s="226">
        <v>184223</v>
      </c>
    </row>
    <row r="329" spans="1:9">
      <c r="A329" s="482"/>
      <c r="B329" s="241"/>
      <c r="C329" s="226"/>
      <c r="D329" s="241"/>
      <c r="E329" s="341"/>
      <c r="F329" s="249"/>
      <c r="G329" s="204" t="s">
        <v>1369</v>
      </c>
      <c r="H329" s="226">
        <v>1182</v>
      </c>
      <c r="I329" s="226">
        <v>1139</v>
      </c>
    </row>
    <row r="330" spans="1:9">
      <c r="A330" s="482"/>
      <c r="B330" s="241"/>
      <c r="C330" s="226"/>
      <c r="D330" s="241"/>
      <c r="E330" s="341"/>
      <c r="F330" s="249"/>
      <c r="G330" s="204" t="s">
        <v>1146</v>
      </c>
      <c r="H330" s="226"/>
      <c r="I330" s="226"/>
    </row>
    <row r="331" spans="1:9">
      <c r="A331" s="482"/>
      <c r="B331" s="320"/>
      <c r="C331" s="226"/>
      <c r="D331" s="241"/>
      <c r="E331" s="341"/>
      <c r="F331" s="249"/>
      <c r="G331" s="204" t="s">
        <v>1370</v>
      </c>
      <c r="H331" s="226">
        <v>1427330</v>
      </c>
      <c r="I331" s="226">
        <v>1570905</v>
      </c>
    </row>
    <row r="332" spans="1:9">
      <c r="A332" s="482"/>
      <c r="B332" s="320"/>
      <c r="C332" s="226"/>
      <c r="D332" s="241"/>
      <c r="E332" s="341"/>
      <c r="F332" s="249"/>
      <c r="G332" s="204" t="s">
        <v>1147</v>
      </c>
      <c r="H332" s="226">
        <v>9091269</v>
      </c>
      <c r="I332" s="226">
        <v>6909741</v>
      </c>
    </row>
    <row r="333" spans="1:9">
      <c r="A333" s="482"/>
      <c r="B333" s="320"/>
      <c r="C333" s="226"/>
      <c r="D333" s="241"/>
      <c r="E333" s="341"/>
      <c r="F333" s="249"/>
      <c r="G333" s="204" t="s">
        <v>1371</v>
      </c>
      <c r="H333" s="226">
        <v>377500</v>
      </c>
      <c r="I333" s="226">
        <v>377500</v>
      </c>
    </row>
    <row r="334" spans="1:9">
      <c r="A334" s="482"/>
      <c r="B334" s="320"/>
      <c r="C334" s="226"/>
      <c r="D334" s="241"/>
      <c r="E334" s="341"/>
      <c r="F334" s="249"/>
      <c r="G334" s="204" t="s">
        <v>1372</v>
      </c>
      <c r="H334" s="226">
        <v>2076</v>
      </c>
      <c r="I334" s="226">
        <v>22209</v>
      </c>
    </row>
    <row r="335" spans="1:9">
      <c r="A335" s="482"/>
      <c r="B335" s="320"/>
      <c r="C335" s="226"/>
      <c r="D335" s="241"/>
      <c r="E335" s="341"/>
      <c r="F335" s="249"/>
      <c r="G335" s="204" t="s">
        <v>1373</v>
      </c>
      <c r="H335" s="226">
        <v>12922082</v>
      </c>
      <c r="I335" s="226">
        <v>8357912</v>
      </c>
    </row>
    <row r="336" spans="1:9">
      <c r="A336" s="482"/>
      <c r="B336" s="320"/>
      <c r="C336" s="226"/>
      <c r="D336" s="241"/>
      <c r="E336" s="341"/>
      <c r="F336" s="249"/>
      <c r="G336" s="204" t="s">
        <v>1374</v>
      </c>
      <c r="H336" s="226">
        <v>4850256</v>
      </c>
      <c r="I336" s="226">
        <v>1887467</v>
      </c>
    </row>
    <row r="337" spans="1:9" ht="18">
      <c r="A337" s="482"/>
      <c r="B337" s="320"/>
      <c r="C337" s="226"/>
      <c r="D337" s="241"/>
      <c r="E337" s="341"/>
      <c r="F337" s="492"/>
      <c r="G337" s="204" t="s">
        <v>1375</v>
      </c>
      <c r="H337" s="226">
        <v>181808</v>
      </c>
      <c r="I337" s="226">
        <v>52188</v>
      </c>
    </row>
    <row r="338" spans="1:9" ht="18">
      <c r="A338" s="482"/>
      <c r="B338" s="320"/>
      <c r="C338" s="226"/>
      <c r="D338" s="241"/>
      <c r="E338" s="341"/>
      <c r="F338" s="493"/>
      <c r="G338" s="204" t="s">
        <v>1376</v>
      </c>
      <c r="H338" s="226">
        <v>153031</v>
      </c>
      <c r="I338" s="226">
        <v>666100</v>
      </c>
    </row>
    <row r="339" spans="1:9" ht="18">
      <c r="A339" s="482"/>
      <c r="B339" s="320"/>
      <c r="C339" s="226"/>
      <c r="D339" s="241"/>
      <c r="E339" s="341"/>
      <c r="F339" s="493"/>
      <c r="G339" s="204" t="s">
        <v>1377</v>
      </c>
      <c r="H339" s="226">
        <v>59475</v>
      </c>
      <c r="I339" s="226">
        <v>194571</v>
      </c>
    </row>
    <row r="340" spans="1:9" ht="18">
      <c r="A340" s="482"/>
      <c r="B340" s="320"/>
      <c r="C340" s="226"/>
      <c r="D340" s="241"/>
      <c r="E340" s="341"/>
      <c r="F340" s="493"/>
      <c r="G340" s="204" t="s">
        <v>1378</v>
      </c>
      <c r="H340" s="226">
        <v>60000</v>
      </c>
      <c r="I340" s="219" t="s">
        <v>233</v>
      </c>
    </row>
    <row r="341" spans="1:9" ht="18">
      <c r="A341" s="482"/>
      <c r="B341" s="320"/>
      <c r="C341" s="226" t="s">
        <v>105</v>
      </c>
      <c r="D341" s="241"/>
      <c r="E341" s="341"/>
      <c r="F341" s="493"/>
      <c r="G341" s="204" t="s">
        <v>1379</v>
      </c>
      <c r="H341" s="226">
        <v>29700000</v>
      </c>
      <c r="I341" s="219" t="s">
        <v>233</v>
      </c>
    </row>
    <row r="342" spans="1:9" ht="18">
      <c r="A342" s="482"/>
      <c r="B342" s="320"/>
      <c r="C342" s="226"/>
      <c r="D342" s="241"/>
      <c r="E342" s="341"/>
      <c r="F342" s="493"/>
      <c r="G342" s="204" t="s">
        <v>1380</v>
      </c>
      <c r="H342" s="226">
        <v>10438286</v>
      </c>
      <c r="I342" s="219" t="s">
        <v>233</v>
      </c>
    </row>
    <row r="343" spans="1:9" ht="18">
      <c r="A343" s="482"/>
      <c r="B343" s="320"/>
      <c r="C343" s="226"/>
      <c r="D343" s="241"/>
      <c r="E343" s="341"/>
      <c r="F343" s="493"/>
      <c r="G343" s="204" t="s">
        <v>1381</v>
      </c>
      <c r="H343" s="226">
        <v>4800974</v>
      </c>
      <c r="I343" s="219" t="s">
        <v>233</v>
      </c>
    </row>
    <row r="344" spans="1:9" ht="18">
      <c r="A344" s="482"/>
      <c r="B344" s="320"/>
      <c r="C344" s="226"/>
      <c r="D344" s="241"/>
      <c r="E344" s="341"/>
      <c r="F344" s="493"/>
      <c r="G344" s="204" t="s">
        <v>1382</v>
      </c>
      <c r="H344" s="226">
        <v>3558800</v>
      </c>
      <c r="I344" s="219" t="s">
        <v>233</v>
      </c>
    </row>
    <row r="345" spans="1:9" ht="18">
      <c r="A345" s="482"/>
      <c r="B345" s="320"/>
      <c r="C345" s="226"/>
      <c r="D345" s="241"/>
      <c r="E345" s="341"/>
      <c r="F345" s="493"/>
      <c r="G345" s="204" t="s">
        <v>1383</v>
      </c>
      <c r="H345" s="226">
        <v>334550</v>
      </c>
      <c r="I345" s="219" t="s">
        <v>233</v>
      </c>
    </row>
    <row r="346" spans="1:9" ht="18.75" thickBot="1">
      <c r="A346" s="483"/>
      <c r="B346" s="331"/>
      <c r="C346" s="255"/>
      <c r="D346" s="247"/>
      <c r="E346" s="508"/>
      <c r="F346" s="494"/>
      <c r="G346" s="323"/>
      <c r="H346" s="255"/>
      <c r="I346" s="255"/>
    </row>
    <row r="347" spans="1:9" ht="18.75" thickBot="1">
      <c r="A347" s="503"/>
      <c r="B347" s="487" t="s">
        <v>411</v>
      </c>
      <c r="C347" s="488">
        <f>SUM(C11:C346)</f>
        <v>2272515133.3600001</v>
      </c>
      <c r="D347" s="504">
        <f>SUM(D11:D346)</f>
        <v>1810807732.8600001</v>
      </c>
      <c r="E347" s="445"/>
      <c r="F347" s="449"/>
      <c r="G347" s="495" t="s">
        <v>411</v>
      </c>
      <c r="H347" s="344">
        <f>SUM(H11:H346)</f>
        <v>2272515133.3599997</v>
      </c>
      <c r="I347" s="496">
        <f>SUM(I11:I57,I64:I106,I107:I162,I163:I238,I239:I300,I301:I346)</f>
        <v>1810807732.8599999</v>
      </c>
    </row>
    <row r="348" spans="1:9">
      <c r="A348" s="261"/>
      <c r="E348" s="446"/>
    </row>
    <row r="349" spans="1:9">
      <c r="A349" s="261"/>
      <c r="B349" s="209"/>
      <c r="C349" s="499"/>
      <c r="H349" s="499"/>
      <c r="I349" s="499"/>
    </row>
    <row r="350" spans="1:9">
      <c r="A350" s="261"/>
      <c r="B350" s="209"/>
      <c r="C350" s="499"/>
      <c r="H350" s="499"/>
      <c r="I350" s="499"/>
    </row>
    <row r="351" spans="1:9">
      <c r="A351" s="209"/>
      <c r="B351" s="209"/>
      <c r="C351" s="499"/>
      <c r="H351" s="499"/>
      <c r="I351" s="499"/>
    </row>
    <row r="352" spans="1:9">
      <c r="A352" s="347"/>
      <c r="B352" s="209"/>
      <c r="C352" s="499"/>
      <c r="H352" s="499"/>
      <c r="I352" s="499"/>
    </row>
    <row r="353" spans="1:9">
      <c r="A353" s="347"/>
      <c r="B353" s="209"/>
      <c r="C353" s="497"/>
      <c r="D353" s="337"/>
      <c r="H353" s="499"/>
      <c r="I353" s="499"/>
    </row>
    <row r="354" spans="1:9">
      <c r="A354" s="347"/>
      <c r="B354" s="571" t="s">
        <v>1449</v>
      </c>
      <c r="C354" s="571"/>
      <c r="D354" s="571"/>
      <c r="G354" s="571" t="s">
        <v>1462</v>
      </c>
      <c r="H354" s="571"/>
      <c r="I354" s="571"/>
    </row>
    <row r="355" spans="1:9">
      <c r="A355" s="347"/>
      <c r="B355" s="571"/>
      <c r="C355" s="571"/>
      <c r="D355" s="571"/>
      <c r="G355" s="571"/>
      <c r="H355" s="571"/>
      <c r="I355" s="571"/>
    </row>
    <row r="356" spans="1:9">
      <c r="A356" s="347"/>
      <c r="B356" s="571"/>
      <c r="C356" s="571"/>
      <c r="D356" s="571"/>
      <c r="G356" s="571"/>
      <c r="H356" s="571"/>
      <c r="I356" s="571"/>
    </row>
    <row r="357" spans="1:9">
      <c r="A357" s="209"/>
      <c r="B357" s="571"/>
      <c r="C357" s="571"/>
      <c r="D357" s="571"/>
      <c r="G357" s="571"/>
      <c r="H357" s="571"/>
      <c r="I357" s="571"/>
    </row>
    <row r="358" spans="1:9">
      <c r="A358" s="209"/>
      <c r="B358" s="547"/>
      <c r="C358" s="547"/>
      <c r="D358" s="547"/>
      <c r="G358" s="547"/>
      <c r="H358" s="547"/>
      <c r="I358" s="547"/>
    </row>
    <row r="359" spans="1:9">
      <c r="A359" s="209"/>
      <c r="B359" s="547"/>
      <c r="C359" s="547"/>
      <c r="D359" s="547"/>
      <c r="G359" s="547"/>
      <c r="H359" s="547"/>
      <c r="I359" s="547"/>
    </row>
    <row r="360" spans="1:9">
      <c r="A360" s="209"/>
      <c r="B360" s="547"/>
      <c r="C360" s="547"/>
      <c r="D360" s="547"/>
      <c r="G360" s="547"/>
      <c r="H360" s="547"/>
      <c r="I360" s="547"/>
    </row>
    <row r="361" spans="1:9">
      <c r="A361" s="209"/>
      <c r="B361" s="547"/>
      <c r="C361" s="547"/>
      <c r="D361" s="547"/>
      <c r="G361" s="547"/>
      <c r="H361" s="547"/>
      <c r="I361" s="547"/>
    </row>
    <row r="362" spans="1:9">
      <c r="A362" s="209"/>
      <c r="B362" s="547"/>
      <c r="C362" s="547"/>
      <c r="D362" s="547"/>
      <c r="G362" s="547"/>
      <c r="H362" s="547"/>
      <c r="I362" s="547"/>
    </row>
    <row r="363" spans="1:9">
      <c r="A363" s="209"/>
      <c r="B363" s="547"/>
      <c r="C363" s="547"/>
      <c r="D363" s="547"/>
      <c r="G363" s="547"/>
      <c r="H363" s="547"/>
      <c r="I363" s="547"/>
    </row>
    <row r="364" spans="1:9">
      <c r="A364" s="209"/>
      <c r="B364" s="547"/>
      <c r="C364" s="547"/>
      <c r="D364" s="547"/>
      <c r="G364" s="547"/>
      <c r="H364" s="547"/>
      <c r="I364" s="547"/>
    </row>
    <row r="365" spans="1:9">
      <c r="A365" s="209"/>
      <c r="B365" s="547"/>
      <c r="C365" s="547"/>
      <c r="D365" s="547"/>
      <c r="G365" s="547"/>
      <c r="H365" s="547"/>
      <c r="I365" s="547"/>
    </row>
    <row r="366" spans="1:9">
      <c r="A366" s="209"/>
      <c r="B366" s="547"/>
      <c r="C366" s="547"/>
      <c r="D366" s="547"/>
      <c r="G366" s="547"/>
      <c r="H366" s="547"/>
      <c r="I366" s="547"/>
    </row>
    <row r="367" spans="1:9">
      <c r="A367" s="570" t="s">
        <v>800</v>
      </c>
      <c r="B367" s="570"/>
      <c r="C367" s="570"/>
      <c r="D367" s="570"/>
      <c r="E367" s="570"/>
      <c r="F367" s="570"/>
      <c r="G367" s="570"/>
      <c r="H367" s="570"/>
      <c r="I367" s="570"/>
    </row>
    <row r="368" spans="1:9">
      <c r="A368" s="209"/>
      <c r="B368" s="547"/>
      <c r="C368" s="547"/>
      <c r="D368" s="547"/>
      <c r="G368" s="547"/>
      <c r="H368" s="547"/>
      <c r="I368" s="547"/>
    </row>
    <row r="369" spans="1:9">
      <c r="A369" s="209"/>
      <c r="B369" s="547"/>
      <c r="C369" s="547"/>
      <c r="D369" s="547"/>
      <c r="G369" s="547"/>
      <c r="H369" s="547"/>
      <c r="I369" s="547"/>
    </row>
    <row r="370" spans="1:9">
      <c r="A370" s="209"/>
      <c r="C370" s="499"/>
      <c r="H370" s="499"/>
      <c r="I370" s="499"/>
    </row>
    <row r="371" spans="1:9">
      <c r="A371" s="209"/>
      <c r="C371" s="499"/>
      <c r="H371" s="499"/>
      <c r="I371" s="499"/>
    </row>
    <row r="372" spans="1:9">
      <c r="A372" s="209"/>
      <c r="B372" s="209"/>
      <c r="C372" s="209"/>
      <c r="G372" s="209"/>
      <c r="H372" s="209"/>
      <c r="I372" s="209"/>
    </row>
    <row r="373" spans="1:9">
      <c r="A373" s="209"/>
      <c r="E373" s="445"/>
    </row>
    <row r="374" spans="1:9">
      <c r="A374" s="209"/>
      <c r="E374" s="446"/>
    </row>
    <row r="375" spans="1:9">
      <c r="A375" s="209"/>
    </row>
    <row r="376" spans="1:9">
      <c r="A376" s="209"/>
    </row>
    <row r="377" spans="1:9">
      <c r="A377" s="209"/>
    </row>
    <row r="378" spans="1:9">
      <c r="A378" s="209"/>
    </row>
    <row r="379" spans="1:9">
      <c r="A379" s="209"/>
    </row>
    <row r="380" spans="1:9">
      <c r="A380" s="209"/>
      <c r="G380" s="209"/>
    </row>
    <row r="381" spans="1:9">
      <c r="A381" s="209"/>
      <c r="G381" s="209"/>
    </row>
    <row r="382" spans="1:9">
      <c r="A382" s="209"/>
      <c r="G382" s="209"/>
    </row>
    <row r="383" spans="1:9">
      <c r="A383" s="209"/>
      <c r="G383" s="209"/>
    </row>
    <row r="384" spans="1:9">
      <c r="A384" s="209"/>
      <c r="F384" s="317"/>
      <c r="G384" s="209"/>
    </row>
    <row r="385" spans="1:9">
      <c r="A385" s="209"/>
      <c r="G385" s="209"/>
    </row>
    <row r="386" spans="1:9">
      <c r="A386" s="209"/>
      <c r="I386" s="499"/>
    </row>
    <row r="387" spans="1:9">
      <c r="A387" s="209"/>
      <c r="G387" s="209"/>
    </row>
    <row r="388" spans="1:9">
      <c r="A388" s="209"/>
      <c r="G388" s="209"/>
    </row>
    <row r="389" spans="1:9">
      <c r="A389" s="209"/>
      <c r="G389" s="209"/>
    </row>
    <row r="390" spans="1:9">
      <c r="A390" s="209"/>
      <c r="G390" s="209"/>
    </row>
    <row r="391" spans="1:9">
      <c r="A391" s="209"/>
      <c r="G391" s="209"/>
    </row>
    <row r="392" spans="1:9">
      <c r="A392" s="209"/>
    </row>
    <row r="393" spans="1:9" ht="15.75" customHeight="1">
      <c r="A393" s="209"/>
    </row>
    <row r="394" spans="1:9">
      <c r="A394" s="209"/>
    </row>
    <row r="395" spans="1:9">
      <c r="A395" s="209"/>
    </row>
    <row r="396" spans="1:9">
      <c r="A396" s="209"/>
    </row>
    <row r="397" spans="1:9">
      <c r="A397" s="209"/>
    </row>
    <row r="398" spans="1:9">
      <c r="A398" s="209"/>
    </row>
    <row r="399" spans="1:9">
      <c r="A399" s="209"/>
      <c r="E399" s="479"/>
    </row>
    <row r="400" spans="1:9">
      <c r="A400" s="209"/>
    </row>
    <row r="401" spans="1:10">
      <c r="A401" s="209"/>
    </row>
    <row r="402" spans="1:10">
      <c r="A402" s="209"/>
    </row>
    <row r="403" spans="1:10">
      <c r="A403" s="209"/>
    </row>
    <row r="404" spans="1:10">
      <c r="A404" s="209"/>
    </row>
    <row r="405" spans="1:10">
      <c r="A405" s="209"/>
    </row>
    <row r="406" spans="1:10">
      <c r="A406" s="209"/>
    </row>
    <row r="407" spans="1:10">
      <c r="A407" s="209"/>
    </row>
    <row r="408" spans="1:10">
      <c r="A408" s="209"/>
    </row>
    <row r="409" spans="1:10">
      <c r="A409" s="209"/>
    </row>
    <row r="410" spans="1:10">
      <c r="A410" s="209"/>
    </row>
    <row r="411" spans="1:10">
      <c r="A411" s="209"/>
    </row>
    <row r="412" spans="1:10">
      <c r="A412" s="209"/>
    </row>
    <row r="413" spans="1:10">
      <c r="A413" s="209"/>
    </row>
    <row r="414" spans="1:10">
      <c r="A414" s="209"/>
    </row>
    <row r="415" spans="1:10">
      <c r="A415" s="209"/>
    </row>
    <row r="416" spans="1:10">
      <c r="A416" s="209"/>
      <c r="J416" s="348"/>
    </row>
    <row r="417" spans="1:10">
      <c r="A417" s="209"/>
      <c r="J417" s="349"/>
    </row>
    <row r="418" spans="1:10">
      <c r="A418" s="209"/>
    </row>
    <row r="419" spans="1:10">
      <c r="A419" s="209"/>
    </row>
    <row r="420" spans="1:10">
      <c r="A420" s="209"/>
    </row>
    <row r="421" spans="1:10">
      <c r="A421" s="209"/>
    </row>
    <row r="422" spans="1:10">
      <c r="A422" s="209"/>
    </row>
    <row r="423" spans="1:10">
      <c r="A423" s="209"/>
    </row>
    <row r="424" spans="1:10">
      <c r="A424" s="209"/>
    </row>
    <row r="425" spans="1:10">
      <c r="A425" s="209"/>
    </row>
    <row r="426" spans="1:10">
      <c r="A426" s="209"/>
    </row>
    <row r="427" spans="1:10">
      <c r="A427" s="209"/>
    </row>
    <row r="428" spans="1:10">
      <c r="A428" s="209"/>
    </row>
    <row r="429" spans="1:10">
      <c r="A429" s="209"/>
    </row>
    <row r="430" spans="1:10">
      <c r="A430" s="209"/>
    </row>
    <row r="431" spans="1:10">
      <c r="A431" s="209"/>
    </row>
    <row r="432" spans="1:10">
      <c r="A432" s="209"/>
    </row>
    <row r="433" spans="1:1">
      <c r="A433" s="209"/>
    </row>
    <row r="434" spans="1:1">
      <c r="A434" s="209"/>
    </row>
    <row r="435" spans="1:1">
      <c r="A435" s="209"/>
    </row>
    <row r="436" spans="1:1">
      <c r="A436" s="209"/>
    </row>
    <row r="437" spans="1:1">
      <c r="A437" s="209"/>
    </row>
    <row r="438" spans="1:1">
      <c r="A438" s="209"/>
    </row>
    <row r="439" spans="1:1">
      <c r="A439" s="209"/>
    </row>
    <row r="440" spans="1:1">
      <c r="A440" s="209"/>
    </row>
    <row r="441" spans="1:1">
      <c r="A441" s="209"/>
    </row>
    <row r="442" spans="1:1">
      <c r="A442" s="209"/>
    </row>
    <row r="443" spans="1:1">
      <c r="A443" s="209"/>
    </row>
    <row r="444" spans="1:1">
      <c r="A444" s="209"/>
    </row>
    <row r="445" spans="1:1">
      <c r="A445" s="209"/>
    </row>
    <row r="446" spans="1:1">
      <c r="A446" s="209"/>
    </row>
    <row r="447" spans="1:1">
      <c r="A447" s="209"/>
    </row>
    <row r="448" spans="1:1">
      <c r="A448" s="209"/>
    </row>
    <row r="449" spans="1:1">
      <c r="A449" s="209"/>
    </row>
    <row r="450" spans="1:1">
      <c r="A450" s="209"/>
    </row>
    <row r="451" spans="1:1">
      <c r="A451" s="209"/>
    </row>
    <row r="452" spans="1:1">
      <c r="A452" s="209"/>
    </row>
    <row r="453" spans="1:1">
      <c r="A453" s="209"/>
    </row>
    <row r="454" spans="1:1">
      <c r="A454" s="209"/>
    </row>
    <row r="455" spans="1:1">
      <c r="A455" s="209"/>
    </row>
    <row r="456" spans="1:1">
      <c r="A456" s="209"/>
    </row>
    <row r="457" spans="1:1">
      <c r="A457" s="209"/>
    </row>
    <row r="458" spans="1:1">
      <c r="A458" s="209"/>
    </row>
    <row r="459" spans="1:1">
      <c r="A459" s="209"/>
    </row>
    <row r="460" spans="1:1">
      <c r="A460" s="209"/>
    </row>
    <row r="461" spans="1:1">
      <c r="A461" s="209"/>
    </row>
    <row r="462" spans="1:1">
      <c r="A462" s="209"/>
    </row>
    <row r="463" spans="1:1">
      <c r="A463" s="209"/>
    </row>
    <row r="464" spans="1:1">
      <c r="A464" s="209"/>
    </row>
    <row r="465" spans="1:1">
      <c r="A465" s="209"/>
    </row>
    <row r="466" spans="1:1">
      <c r="A466" s="209"/>
    </row>
    <row r="467" spans="1:1">
      <c r="A467" s="209"/>
    </row>
    <row r="468" spans="1:1">
      <c r="A468" s="209"/>
    </row>
    <row r="469" spans="1:1">
      <c r="A469" s="209"/>
    </row>
    <row r="470" spans="1:1">
      <c r="A470" s="209"/>
    </row>
    <row r="471" spans="1:1">
      <c r="A471" s="209"/>
    </row>
    <row r="472" spans="1:1">
      <c r="A472" s="209"/>
    </row>
    <row r="473" spans="1:1">
      <c r="A473" s="209"/>
    </row>
    <row r="474" spans="1:1">
      <c r="A474" s="209"/>
    </row>
    <row r="475" spans="1:1">
      <c r="A475" s="209"/>
    </row>
    <row r="476" spans="1:1">
      <c r="A476" s="209"/>
    </row>
    <row r="477" spans="1:1">
      <c r="A477" s="209"/>
    </row>
    <row r="478" spans="1:1">
      <c r="A478" s="209"/>
    </row>
    <row r="479" spans="1:1">
      <c r="A479" s="209"/>
    </row>
    <row r="480" spans="1:1">
      <c r="A480" s="209"/>
    </row>
    <row r="481" spans="1:1">
      <c r="A481" s="209"/>
    </row>
    <row r="482" spans="1:1">
      <c r="A482" s="209"/>
    </row>
    <row r="483" spans="1:1">
      <c r="A483" s="209"/>
    </row>
    <row r="484" spans="1:1">
      <c r="A484" s="209"/>
    </row>
    <row r="485" spans="1:1">
      <c r="A485" s="209"/>
    </row>
    <row r="486" spans="1:1">
      <c r="A486" s="209"/>
    </row>
    <row r="487" spans="1:1">
      <c r="A487" s="209"/>
    </row>
    <row r="488" spans="1:1">
      <c r="A488" s="209"/>
    </row>
    <row r="489" spans="1:1">
      <c r="A489" s="209"/>
    </row>
    <row r="490" spans="1:1">
      <c r="A490" s="209"/>
    </row>
    <row r="491" spans="1:1">
      <c r="A491" s="209"/>
    </row>
    <row r="492" spans="1:1">
      <c r="A492" s="209"/>
    </row>
    <row r="493" spans="1:1">
      <c r="A493" s="209"/>
    </row>
    <row r="494" spans="1:1">
      <c r="A494" s="209"/>
    </row>
    <row r="495" spans="1:1">
      <c r="A495" s="209"/>
    </row>
    <row r="496" spans="1:1">
      <c r="A496" s="209"/>
    </row>
    <row r="497" spans="1:1">
      <c r="A497" s="209"/>
    </row>
    <row r="498" spans="1:1">
      <c r="A498" s="209"/>
    </row>
    <row r="499" spans="1:1">
      <c r="A499" s="209"/>
    </row>
    <row r="500" spans="1:1">
      <c r="A500" s="209"/>
    </row>
    <row r="501" spans="1:1">
      <c r="A501" s="209"/>
    </row>
    <row r="502" spans="1:1">
      <c r="A502" s="209"/>
    </row>
    <row r="503" spans="1:1">
      <c r="A503" s="209"/>
    </row>
    <row r="504" spans="1:1">
      <c r="A504" s="209"/>
    </row>
    <row r="505" spans="1:1">
      <c r="A505" s="209"/>
    </row>
    <row r="506" spans="1:1">
      <c r="A506" s="209"/>
    </row>
    <row r="507" spans="1:1">
      <c r="A507" s="209"/>
    </row>
    <row r="508" spans="1:1">
      <c r="A508" s="209"/>
    </row>
    <row r="509" spans="1:1">
      <c r="A509" s="209"/>
    </row>
    <row r="510" spans="1:1">
      <c r="A510" s="209"/>
    </row>
    <row r="511" spans="1:1">
      <c r="A511" s="209"/>
    </row>
    <row r="512" spans="1:1">
      <c r="A512" s="209"/>
    </row>
    <row r="513" spans="1:1">
      <c r="A513" s="209"/>
    </row>
    <row r="514" spans="1:1">
      <c r="A514" s="209"/>
    </row>
    <row r="515" spans="1:1">
      <c r="A515" s="209"/>
    </row>
    <row r="516" spans="1:1">
      <c r="A516" s="209"/>
    </row>
    <row r="517" spans="1:1">
      <c r="A517" s="209"/>
    </row>
    <row r="518" spans="1:1">
      <c r="A518" s="209"/>
    </row>
    <row r="519" spans="1:1">
      <c r="A519" s="209"/>
    </row>
    <row r="520" spans="1:1">
      <c r="A520" s="209"/>
    </row>
    <row r="521" spans="1:1">
      <c r="A521" s="209"/>
    </row>
    <row r="522" spans="1:1">
      <c r="A522" s="209"/>
    </row>
    <row r="523" spans="1:1">
      <c r="A523" s="209"/>
    </row>
    <row r="524" spans="1:1">
      <c r="A524" s="209"/>
    </row>
    <row r="525" spans="1:1">
      <c r="A525" s="209"/>
    </row>
    <row r="526" spans="1:1">
      <c r="A526" s="209"/>
    </row>
    <row r="527" spans="1:1">
      <c r="A527" s="209"/>
    </row>
    <row r="528" spans="1:1">
      <c r="A528" s="209"/>
    </row>
    <row r="529" spans="1:1">
      <c r="A529" s="209"/>
    </row>
    <row r="530" spans="1:1">
      <c r="A530" s="209"/>
    </row>
    <row r="531" spans="1:1">
      <c r="A531" s="209"/>
    </row>
    <row r="532" spans="1:1">
      <c r="A532" s="209"/>
    </row>
    <row r="533" spans="1:1">
      <c r="A533" s="209"/>
    </row>
    <row r="534" spans="1:1">
      <c r="A534" s="209"/>
    </row>
    <row r="535" spans="1:1">
      <c r="A535" s="209"/>
    </row>
    <row r="536" spans="1:1">
      <c r="A536" s="209"/>
    </row>
    <row r="537" spans="1:1">
      <c r="A537" s="209"/>
    </row>
    <row r="538" spans="1:1">
      <c r="A538" s="209"/>
    </row>
    <row r="539" spans="1:1">
      <c r="A539" s="209"/>
    </row>
    <row r="540" spans="1:1">
      <c r="A540" s="209"/>
    </row>
    <row r="541" spans="1:1">
      <c r="A541" s="209"/>
    </row>
    <row r="542" spans="1:1">
      <c r="A542" s="209"/>
    </row>
    <row r="543" spans="1:1">
      <c r="A543" s="209"/>
    </row>
    <row r="544" spans="1:1">
      <c r="A544" s="209"/>
    </row>
    <row r="545" spans="1:1">
      <c r="A545" s="209"/>
    </row>
    <row r="546" spans="1:1">
      <c r="A546" s="209"/>
    </row>
    <row r="547" spans="1:1">
      <c r="A547" s="209"/>
    </row>
    <row r="548" spans="1:1">
      <c r="A548" s="209"/>
    </row>
    <row r="549" spans="1:1">
      <c r="A549" s="209"/>
    </row>
    <row r="550" spans="1:1">
      <c r="A550" s="209"/>
    </row>
    <row r="551" spans="1:1">
      <c r="A551" s="209"/>
    </row>
    <row r="552" spans="1:1">
      <c r="A552" s="209"/>
    </row>
    <row r="553" spans="1:1">
      <c r="A553" s="209"/>
    </row>
    <row r="554" spans="1:1">
      <c r="A554" s="209"/>
    </row>
    <row r="555" spans="1:1">
      <c r="A555" s="209"/>
    </row>
    <row r="556" spans="1:1">
      <c r="A556" s="209"/>
    </row>
    <row r="557" spans="1:1">
      <c r="A557" s="209"/>
    </row>
    <row r="558" spans="1:1">
      <c r="A558" s="209"/>
    </row>
    <row r="559" spans="1:1">
      <c r="A559" s="209"/>
    </row>
    <row r="560" spans="1:1">
      <c r="A560" s="209"/>
    </row>
    <row r="561" spans="1:1">
      <c r="A561" s="209"/>
    </row>
    <row r="562" spans="1:1">
      <c r="A562" s="209"/>
    </row>
    <row r="563" spans="1:1">
      <c r="A563" s="209"/>
    </row>
    <row r="564" spans="1:1">
      <c r="A564" s="209"/>
    </row>
    <row r="565" spans="1:1">
      <c r="A565" s="209"/>
    </row>
    <row r="566" spans="1:1">
      <c r="A566" s="209"/>
    </row>
    <row r="567" spans="1:1">
      <c r="A567" s="209"/>
    </row>
    <row r="568" spans="1:1">
      <c r="A568" s="209"/>
    </row>
    <row r="569" spans="1:1">
      <c r="A569" s="209"/>
    </row>
    <row r="570" spans="1:1">
      <c r="A570" s="209"/>
    </row>
    <row r="571" spans="1:1">
      <c r="A571" s="209"/>
    </row>
    <row r="572" spans="1:1">
      <c r="A572" s="209"/>
    </row>
    <row r="573" spans="1:1">
      <c r="A573" s="209"/>
    </row>
    <row r="574" spans="1:1">
      <c r="A574" s="209"/>
    </row>
    <row r="575" spans="1:1">
      <c r="A575" s="209"/>
    </row>
    <row r="576" spans="1:1">
      <c r="A576" s="209"/>
    </row>
    <row r="577" spans="1:1">
      <c r="A577" s="209"/>
    </row>
    <row r="578" spans="1:1">
      <c r="A578" s="209"/>
    </row>
    <row r="579" spans="1:1">
      <c r="A579" s="209"/>
    </row>
    <row r="580" spans="1:1">
      <c r="A580" s="209"/>
    </row>
    <row r="581" spans="1:1">
      <c r="A581" s="209"/>
    </row>
    <row r="582" spans="1:1">
      <c r="A582" s="209"/>
    </row>
    <row r="583" spans="1:1">
      <c r="A583" s="209"/>
    </row>
    <row r="584" spans="1:1">
      <c r="A584" s="209"/>
    </row>
    <row r="585" spans="1:1">
      <c r="A585" s="209"/>
    </row>
    <row r="586" spans="1:1">
      <c r="A586" s="209"/>
    </row>
    <row r="587" spans="1:1">
      <c r="A587" s="209"/>
    </row>
    <row r="588" spans="1:1">
      <c r="A588" s="209"/>
    </row>
    <row r="589" spans="1:1">
      <c r="A589" s="209"/>
    </row>
    <row r="590" spans="1:1">
      <c r="A590" s="209"/>
    </row>
    <row r="591" spans="1:1">
      <c r="A591" s="209"/>
    </row>
    <row r="592" spans="1:1">
      <c r="A592" s="209"/>
    </row>
    <row r="593" spans="1:1">
      <c r="A593" s="209"/>
    </row>
    <row r="594" spans="1:1">
      <c r="A594" s="209"/>
    </row>
    <row r="595" spans="1:1">
      <c r="A595" s="209"/>
    </row>
    <row r="596" spans="1:1">
      <c r="A596" s="209"/>
    </row>
    <row r="597" spans="1:1">
      <c r="A597" s="209"/>
    </row>
    <row r="598" spans="1:1">
      <c r="A598" s="209"/>
    </row>
    <row r="599" spans="1:1">
      <c r="A599" s="209"/>
    </row>
    <row r="600" spans="1:1">
      <c r="A600" s="209"/>
    </row>
    <row r="601" spans="1:1">
      <c r="A601" s="209"/>
    </row>
    <row r="602" spans="1:1">
      <c r="A602" s="209"/>
    </row>
    <row r="603" spans="1:1">
      <c r="A603" s="209"/>
    </row>
    <row r="604" spans="1:1">
      <c r="A604" s="209"/>
    </row>
    <row r="605" spans="1:1">
      <c r="A605" s="209"/>
    </row>
    <row r="606" spans="1:1">
      <c r="A606" s="209"/>
    </row>
    <row r="607" spans="1:1">
      <c r="A607" s="209"/>
    </row>
    <row r="608" spans="1:1">
      <c r="A608" s="209"/>
    </row>
    <row r="609" spans="1:1">
      <c r="A609" s="209"/>
    </row>
    <row r="610" spans="1:1">
      <c r="A610" s="209"/>
    </row>
    <row r="611" spans="1:1">
      <c r="A611" s="209"/>
    </row>
    <row r="612" spans="1:1">
      <c r="A612" s="209"/>
    </row>
    <row r="613" spans="1:1">
      <c r="A613" s="209"/>
    </row>
    <row r="614" spans="1:1">
      <c r="A614" s="209"/>
    </row>
    <row r="615" spans="1:1">
      <c r="A615" s="209"/>
    </row>
    <row r="616" spans="1:1">
      <c r="A616" s="209"/>
    </row>
    <row r="617" spans="1:1">
      <c r="A617" s="209"/>
    </row>
    <row r="618" spans="1:1">
      <c r="A618" s="209"/>
    </row>
    <row r="619" spans="1:1">
      <c r="A619" s="209"/>
    </row>
    <row r="620" spans="1:1">
      <c r="A620" s="209"/>
    </row>
    <row r="621" spans="1:1">
      <c r="A621" s="209"/>
    </row>
    <row r="622" spans="1:1">
      <c r="A622" s="209"/>
    </row>
    <row r="623" spans="1:1">
      <c r="A623" s="209"/>
    </row>
    <row r="624" spans="1:1">
      <c r="A624" s="209"/>
    </row>
    <row r="625" spans="1:1">
      <c r="A625" s="209"/>
    </row>
    <row r="626" spans="1:1">
      <c r="A626" s="209"/>
    </row>
    <row r="627" spans="1:1">
      <c r="A627" s="209"/>
    </row>
  </sheetData>
  <mergeCells count="12">
    <mergeCell ref="A2:I4"/>
    <mergeCell ref="A5:I7"/>
    <mergeCell ref="A8:B8"/>
    <mergeCell ref="F8:G8"/>
    <mergeCell ref="A62:I62"/>
    <mergeCell ref="A367:I367"/>
    <mergeCell ref="A307:I307"/>
    <mergeCell ref="A246:I246"/>
    <mergeCell ref="A185:I185"/>
    <mergeCell ref="A124:I124"/>
    <mergeCell ref="B354:D357"/>
    <mergeCell ref="G354:I357"/>
  </mergeCells>
  <pageMargins left="1.06" right="0.27559055118110237" top="0.2" bottom="0.31496062992125984" header="0.11811023622047245" footer="0.15748031496062992"/>
  <pageSetup paperSize="160" scale="84" orientation="landscape" horizontalDpi="4294967293" verticalDpi="4294967293" r:id="rId1"/>
  <rowBreaks count="5" manualBreakCount="5">
    <brk id="62" max="8" man="1"/>
    <brk id="124" max="8" man="1"/>
    <brk id="185" max="8" man="1"/>
    <brk id="246" max="8" man="1"/>
    <brk id="307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G35"/>
  <sheetViews>
    <sheetView view="pageBreakPreview" topLeftCell="A16" zoomScaleSheetLayoutView="100" workbookViewId="0">
      <selection activeCell="H33" sqref="H33"/>
    </sheetView>
  </sheetViews>
  <sheetFormatPr defaultColWidth="9.140625" defaultRowHeight="15.75"/>
  <cols>
    <col min="1" max="1" width="85.42578125" style="351" customWidth="1"/>
    <col min="2" max="16384" width="9.140625" style="351"/>
  </cols>
  <sheetData>
    <row r="1" spans="1:7">
      <c r="A1" s="585"/>
      <c r="B1" s="585"/>
      <c r="C1" s="585"/>
      <c r="D1" s="585"/>
      <c r="E1" s="585"/>
      <c r="F1" s="350"/>
      <c r="G1" s="350"/>
    </row>
    <row r="2" spans="1:7">
      <c r="A2" s="586" t="s">
        <v>253</v>
      </c>
      <c r="B2" s="586"/>
      <c r="C2" s="586"/>
      <c r="D2" s="586"/>
      <c r="E2" s="586"/>
      <c r="F2" s="352"/>
      <c r="G2" s="352"/>
    </row>
    <row r="3" spans="1:7">
      <c r="A3" s="353"/>
    </row>
    <row r="4" spans="1:7">
      <c r="A4" s="587" t="s">
        <v>1116</v>
      </c>
      <c r="B4" s="587"/>
      <c r="C4" s="587"/>
      <c r="D4" s="587"/>
      <c r="E4" s="587"/>
    </row>
    <row r="5" spans="1:7">
      <c r="D5" s="588" t="s">
        <v>1132</v>
      </c>
      <c r="E5" s="588"/>
    </row>
    <row r="6" spans="1:7" ht="16.5" thickBot="1">
      <c r="D6" s="354"/>
      <c r="E6" s="354"/>
    </row>
    <row r="7" spans="1:7" ht="16.5" thickBot="1">
      <c r="A7" s="355" t="s">
        <v>75</v>
      </c>
      <c r="B7" s="583" t="s">
        <v>409</v>
      </c>
      <c r="C7" s="584"/>
      <c r="D7" s="583" t="s">
        <v>410</v>
      </c>
      <c r="E7" s="584"/>
    </row>
    <row r="8" spans="1:7">
      <c r="A8" s="356" t="s">
        <v>76</v>
      </c>
      <c r="B8" s="357" t="s">
        <v>233</v>
      </c>
      <c r="C8" s="307" t="s">
        <v>233</v>
      </c>
      <c r="D8" s="357" t="s">
        <v>233</v>
      </c>
      <c r="E8" s="307" t="s">
        <v>233</v>
      </c>
    </row>
    <row r="9" spans="1:7">
      <c r="A9" s="297" t="s">
        <v>77</v>
      </c>
      <c r="B9" s="293" t="s">
        <v>233</v>
      </c>
      <c r="C9" s="309" t="s">
        <v>233</v>
      </c>
      <c r="D9" s="293" t="s">
        <v>233</v>
      </c>
      <c r="E9" s="309" t="s">
        <v>233</v>
      </c>
    </row>
    <row r="10" spans="1:7">
      <c r="A10" s="297" t="s">
        <v>78</v>
      </c>
      <c r="B10" s="293"/>
      <c r="C10" s="309"/>
      <c r="D10" s="293"/>
      <c r="E10" s="309"/>
    </row>
    <row r="11" spans="1:7">
      <c r="A11" s="297" t="s">
        <v>79</v>
      </c>
      <c r="B11" s="293" t="s">
        <v>233</v>
      </c>
      <c r="C11" s="309" t="s">
        <v>233</v>
      </c>
      <c r="D11" s="293" t="s">
        <v>233</v>
      </c>
      <c r="E11" s="309" t="s">
        <v>233</v>
      </c>
    </row>
    <row r="12" spans="1:7">
      <c r="A12" s="297" t="s">
        <v>80</v>
      </c>
      <c r="B12" s="293" t="s">
        <v>233</v>
      </c>
      <c r="C12" s="309" t="s">
        <v>233</v>
      </c>
      <c r="D12" s="293" t="s">
        <v>233</v>
      </c>
      <c r="E12" s="309" t="s">
        <v>233</v>
      </c>
    </row>
    <row r="13" spans="1:7">
      <c r="A13" s="297" t="s">
        <v>81</v>
      </c>
      <c r="B13" s="292"/>
      <c r="C13" s="358"/>
      <c r="D13" s="292"/>
      <c r="E13" s="358"/>
    </row>
    <row r="14" spans="1:7">
      <c r="A14" s="297" t="s">
        <v>82</v>
      </c>
      <c r="B14" s="292"/>
      <c r="C14" s="358"/>
      <c r="D14" s="292"/>
      <c r="E14" s="358"/>
    </row>
    <row r="15" spans="1:7">
      <c r="A15" s="297" t="s">
        <v>83</v>
      </c>
      <c r="B15" s="293" t="s">
        <v>233</v>
      </c>
      <c r="C15" s="309" t="s">
        <v>233</v>
      </c>
      <c r="D15" s="293" t="s">
        <v>233</v>
      </c>
      <c r="E15" s="309" t="s">
        <v>233</v>
      </c>
    </row>
    <row r="16" spans="1:7">
      <c r="A16" s="297" t="s">
        <v>235</v>
      </c>
      <c r="B16" s="293" t="s">
        <v>105</v>
      </c>
      <c r="C16" s="309" t="s">
        <v>105</v>
      </c>
      <c r="D16" s="293" t="s">
        <v>105</v>
      </c>
      <c r="E16" s="309" t="s">
        <v>105</v>
      </c>
    </row>
    <row r="17" spans="1:5">
      <c r="A17" s="297" t="s">
        <v>95</v>
      </c>
      <c r="B17" s="293" t="s">
        <v>233</v>
      </c>
      <c r="C17" s="309" t="s">
        <v>233</v>
      </c>
      <c r="D17" s="293" t="s">
        <v>233</v>
      </c>
      <c r="E17" s="309" t="s">
        <v>233</v>
      </c>
    </row>
    <row r="18" spans="1:5">
      <c r="A18" s="297" t="s">
        <v>96</v>
      </c>
      <c r="B18" s="293" t="s">
        <v>233</v>
      </c>
      <c r="C18" s="309" t="s">
        <v>233</v>
      </c>
      <c r="D18" s="293" t="s">
        <v>233</v>
      </c>
      <c r="E18" s="309" t="s">
        <v>233</v>
      </c>
    </row>
    <row r="19" spans="1:5">
      <c r="A19" s="297" t="s">
        <v>399</v>
      </c>
      <c r="B19" s="293" t="s">
        <v>233</v>
      </c>
      <c r="C19" s="309" t="s">
        <v>233</v>
      </c>
      <c r="D19" s="293" t="s">
        <v>233</v>
      </c>
      <c r="E19" s="309" t="s">
        <v>233</v>
      </c>
    </row>
    <row r="20" spans="1:5">
      <c r="A20" s="297" t="s">
        <v>401</v>
      </c>
      <c r="B20" s="293" t="s">
        <v>233</v>
      </c>
      <c r="C20" s="309" t="s">
        <v>233</v>
      </c>
      <c r="D20" s="293" t="s">
        <v>233</v>
      </c>
      <c r="E20" s="309" t="s">
        <v>233</v>
      </c>
    </row>
    <row r="21" spans="1:5" ht="16.5" thickBot="1">
      <c r="A21" s="299"/>
      <c r="B21" s="294"/>
      <c r="C21" s="359"/>
      <c r="D21" s="294"/>
      <c r="E21" s="359"/>
    </row>
    <row r="22" spans="1:5" ht="16.5" thickBot="1">
      <c r="A22" s="355" t="s">
        <v>411</v>
      </c>
      <c r="B22" s="360" t="s">
        <v>233</v>
      </c>
      <c r="C22" s="361" t="s">
        <v>233</v>
      </c>
      <c r="D22" s="360" t="s">
        <v>233</v>
      </c>
      <c r="E22" s="361" t="s">
        <v>233</v>
      </c>
    </row>
    <row r="23" spans="1:5">
      <c r="A23" s="362"/>
      <c r="B23" s="354"/>
      <c r="C23" s="354"/>
      <c r="D23" s="354"/>
      <c r="E23" s="354"/>
    </row>
    <row r="24" spans="1:5">
      <c r="A24" s="362" t="s">
        <v>97</v>
      </c>
      <c r="B24" s="363"/>
      <c r="C24" s="363"/>
      <c r="D24" s="363"/>
      <c r="E24" s="363"/>
    </row>
    <row r="26" spans="1:5">
      <c r="A26" s="364"/>
      <c r="B26" s="364"/>
      <c r="C26" s="364"/>
      <c r="D26" s="364"/>
      <c r="E26" s="364"/>
    </row>
    <row r="35" spans="1:5">
      <c r="A35" s="582" t="s">
        <v>803</v>
      </c>
      <c r="B35" s="582"/>
      <c r="C35" s="582"/>
      <c r="D35" s="582"/>
      <c r="E35" s="582"/>
    </row>
  </sheetData>
  <mergeCells count="7">
    <mergeCell ref="A35:E35"/>
    <mergeCell ref="B7:C7"/>
    <mergeCell ref="D7:E7"/>
    <mergeCell ref="A1:E1"/>
    <mergeCell ref="A2:E2"/>
    <mergeCell ref="A4:E4"/>
    <mergeCell ref="D5:E5"/>
  </mergeCells>
  <phoneticPr fontId="0" type="noConversion"/>
  <printOptions horizontalCentered="1"/>
  <pageMargins left="0.19685039370078741" right="0.19685039370078741" top="0.39370078740157483" bottom="0.19685039370078741" header="0" footer="0"/>
  <pageSetup paperSize="9" orientation="landscape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C38"/>
  <sheetViews>
    <sheetView view="pageBreakPreview" topLeftCell="A4" zoomScale="90" zoomScaleSheetLayoutView="90" workbookViewId="0">
      <selection sqref="A1:C38"/>
    </sheetView>
  </sheetViews>
  <sheetFormatPr defaultColWidth="9.140625" defaultRowHeight="15.75"/>
  <cols>
    <col min="1" max="1" width="92.140625" style="351" customWidth="1"/>
    <col min="2" max="3" width="14.7109375" style="351" customWidth="1"/>
    <col min="4" max="16384" width="9.140625" style="351"/>
  </cols>
  <sheetData>
    <row r="1" spans="1:3">
      <c r="A1" s="586" t="s">
        <v>254</v>
      </c>
      <c r="B1" s="586"/>
      <c r="C1" s="586"/>
    </row>
    <row r="3" spans="1:3">
      <c r="A3" s="587" t="s">
        <v>1116</v>
      </c>
      <c r="B3" s="587"/>
      <c r="C3" s="587"/>
    </row>
    <row r="4" spans="1:3" ht="15.75" customHeight="1" thickBot="1">
      <c r="A4" s="365"/>
      <c r="B4" s="588" t="s">
        <v>1132</v>
      </c>
      <c r="C4" s="588"/>
    </row>
    <row r="5" spans="1:3" ht="16.5" thickBot="1">
      <c r="A5" s="355" t="s">
        <v>98</v>
      </c>
      <c r="B5" s="366" t="s">
        <v>409</v>
      </c>
      <c r="C5" s="366" t="s">
        <v>410</v>
      </c>
    </row>
    <row r="6" spans="1:3">
      <c r="A6" s="356"/>
      <c r="B6" s="304"/>
      <c r="C6" s="304"/>
    </row>
    <row r="7" spans="1:3">
      <c r="A7" s="297" t="s">
        <v>99</v>
      </c>
      <c r="B7" s="293" t="s">
        <v>233</v>
      </c>
      <c r="C7" s="293" t="s">
        <v>233</v>
      </c>
    </row>
    <row r="8" spans="1:3">
      <c r="A8" s="297"/>
      <c r="B8" s="292"/>
      <c r="C8" s="292"/>
    </row>
    <row r="9" spans="1:3">
      <c r="A9" s="297" t="s">
        <v>236</v>
      </c>
      <c r="B9" s="293" t="s">
        <v>233</v>
      </c>
      <c r="C9" s="293" t="s">
        <v>233</v>
      </c>
    </row>
    <row r="10" spans="1:3">
      <c r="A10" s="297"/>
      <c r="B10" s="292"/>
      <c r="C10" s="292"/>
    </row>
    <row r="11" spans="1:3">
      <c r="A11" s="297" t="s">
        <v>100</v>
      </c>
      <c r="B11" s="293" t="s">
        <v>233</v>
      </c>
      <c r="C11" s="293" t="s">
        <v>233</v>
      </c>
    </row>
    <row r="12" spans="1:3">
      <c r="A12" s="297"/>
      <c r="B12" s="292"/>
      <c r="C12" s="292"/>
    </row>
    <row r="13" spans="1:3">
      <c r="A13" s="297" t="s">
        <v>101</v>
      </c>
      <c r="B13" s="292"/>
      <c r="C13" s="292"/>
    </row>
    <row r="14" spans="1:3">
      <c r="A14" s="297" t="s">
        <v>102</v>
      </c>
      <c r="B14" s="293" t="s">
        <v>233</v>
      </c>
      <c r="C14" s="293" t="s">
        <v>233</v>
      </c>
    </row>
    <row r="15" spans="1:3">
      <c r="A15" s="297" t="s">
        <v>103</v>
      </c>
      <c r="B15" s="293" t="s">
        <v>233</v>
      </c>
      <c r="C15" s="293" t="s">
        <v>233</v>
      </c>
    </row>
    <row r="16" spans="1:3">
      <c r="A16" s="297"/>
      <c r="B16" s="293"/>
      <c r="C16" s="293"/>
    </row>
    <row r="17" spans="1:3">
      <c r="A17" s="297" t="s">
        <v>104</v>
      </c>
      <c r="B17" s="293" t="s">
        <v>233</v>
      </c>
      <c r="C17" s="293" t="s">
        <v>233</v>
      </c>
    </row>
    <row r="18" spans="1:3">
      <c r="A18" s="297" t="s">
        <v>105</v>
      </c>
      <c r="B18" s="292"/>
      <c r="C18" s="292"/>
    </row>
    <row r="19" spans="1:3">
      <c r="A19" s="297" t="s">
        <v>106</v>
      </c>
      <c r="B19" s="293" t="s">
        <v>233</v>
      </c>
      <c r="C19" s="293" t="s">
        <v>233</v>
      </c>
    </row>
    <row r="20" spans="1:3">
      <c r="A20" s="297"/>
      <c r="B20" s="292"/>
      <c r="C20" s="292"/>
    </row>
    <row r="21" spans="1:3">
      <c r="A21" s="297" t="s">
        <v>107</v>
      </c>
      <c r="B21" s="293" t="s">
        <v>233</v>
      </c>
      <c r="C21" s="293" t="s">
        <v>233</v>
      </c>
    </row>
    <row r="22" spans="1:3">
      <c r="A22" s="297"/>
      <c r="B22" s="292"/>
      <c r="C22" s="292"/>
    </row>
    <row r="23" spans="1:3">
      <c r="A23" s="297" t="s">
        <v>108</v>
      </c>
      <c r="B23" s="293" t="s">
        <v>233</v>
      </c>
      <c r="C23" s="293" t="s">
        <v>233</v>
      </c>
    </row>
    <row r="24" spans="1:3" ht="16.5" thickBot="1">
      <c r="A24" s="299"/>
      <c r="B24" s="294"/>
      <c r="C24" s="294"/>
    </row>
    <row r="25" spans="1:3" ht="16.5" thickBot="1">
      <c r="A25" s="355" t="s">
        <v>411</v>
      </c>
      <c r="B25" s="360" t="s">
        <v>233</v>
      </c>
      <c r="C25" s="360" t="s">
        <v>233</v>
      </c>
    </row>
    <row r="26" spans="1:3">
      <c r="A26" s="363"/>
      <c r="B26" s="363"/>
      <c r="C26" s="363"/>
    </row>
    <row r="27" spans="1:3">
      <c r="A27" s="362" t="s">
        <v>97</v>
      </c>
      <c r="B27" s="363"/>
      <c r="C27" s="363"/>
    </row>
    <row r="28" spans="1:3" ht="16.5" thickBot="1">
      <c r="A28" s="363"/>
      <c r="B28" s="363"/>
      <c r="C28" s="363"/>
    </row>
    <row r="29" spans="1:3" ht="16.5" thickBot="1">
      <c r="A29" s="355" t="s">
        <v>109</v>
      </c>
      <c r="B29" s="366" t="s">
        <v>409</v>
      </c>
      <c r="C29" s="366" t="s">
        <v>410</v>
      </c>
    </row>
    <row r="30" spans="1:3">
      <c r="A30" s="356"/>
      <c r="B30" s="304"/>
      <c r="C30" s="304"/>
    </row>
    <row r="31" spans="1:3">
      <c r="A31" s="297" t="s">
        <v>398</v>
      </c>
      <c r="B31" s="293" t="s">
        <v>233</v>
      </c>
      <c r="C31" s="293" t="s">
        <v>233</v>
      </c>
    </row>
    <row r="32" spans="1:3">
      <c r="A32" s="297" t="s">
        <v>110</v>
      </c>
      <c r="B32" s="293" t="s">
        <v>233</v>
      </c>
      <c r="C32" s="293" t="s">
        <v>233</v>
      </c>
    </row>
    <row r="33" spans="1:3" ht="16.5" thickBot="1">
      <c r="A33" s="299"/>
      <c r="B33" s="294"/>
      <c r="C33" s="294"/>
    </row>
    <row r="34" spans="1:3" ht="16.5" thickBot="1">
      <c r="A34" s="355" t="s">
        <v>411</v>
      </c>
      <c r="B34" s="360" t="s">
        <v>233</v>
      </c>
      <c r="C34" s="360" t="s">
        <v>233</v>
      </c>
    </row>
    <row r="35" spans="1:3">
      <c r="A35" s="363"/>
      <c r="B35" s="363"/>
      <c r="C35" s="363"/>
    </row>
    <row r="36" spans="1:3">
      <c r="A36" s="362" t="s">
        <v>111</v>
      </c>
      <c r="B36" s="363"/>
      <c r="C36" s="363"/>
    </row>
    <row r="38" spans="1:3">
      <c r="A38" s="582" t="s">
        <v>804</v>
      </c>
      <c r="B38" s="582"/>
      <c r="C38" s="582"/>
    </row>
  </sheetData>
  <mergeCells count="4">
    <mergeCell ref="A1:C1"/>
    <mergeCell ref="A3:C3"/>
    <mergeCell ref="B4:C4"/>
    <mergeCell ref="A38:C38"/>
  </mergeCells>
  <phoneticPr fontId="0" type="noConversion"/>
  <printOptions horizontalCentered="1"/>
  <pageMargins left="0.19685039370078741" right="0.19685039370078741" top="0.39370078740157483" bottom="0.19685039370078741" header="0" footer="0"/>
  <pageSetup paperSize="9" scale="94" orientation="landscape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6"/>
  <dimension ref="A1:H150"/>
  <sheetViews>
    <sheetView view="pageBreakPreview" topLeftCell="A100" zoomScaleSheetLayoutView="100" workbookViewId="0">
      <selection activeCell="E155" sqref="E155"/>
    </sheetView>
  </sheetViews>
  <sheetFormatPr defaultColWidth="9.140625" defaultRowHeight="15.75"/>
  <cols>
    <col min="1" max="1" width="72.28515625" style="209" customWidth="1"/>
    <col min="2" max="2" width="14.7109375" style="209" bestFit="1" customWidth="1"/>
    <col min="3" max="3" width="12.85546875" style="209" customWidth="1"/>
    <col min="4" max="4" width="13.42578125" style="209" bestFit="1" customWidth="1"/>
    <col min="5" max="5" width="14.28515625" style="209" customWidth="1"/>
    <col min="6" max="6" width="15.42578125" style="209" customWidth="1"/>
    <col min="7" max="7" width="10.5703125" style="209" bestFit="1" customWidth="1"/>
    <col min="8" max="16384" width="9.140625" style="209"/>
  </cols>
  <sheetData>
    <row r="1" spans="1:8">
      <c r="A1" s="596" t="s">
        <v>253</v>
      </c>
      <c r="B1" s="596"/>
      <c r="C1" s="596"/>
      <c r="D1" s="596"/>
      <c r="E1" s="596"/>
    </row>
    <row r="2" spans="1:8">
      <c r="A2" s="215"/>
      <c r="B2" s="215"/>
      <c r="C2" s="215"/>
      <c r="D2" s="215"/>
      <c r="E2" s="215"/>
    </row>
    <row r="3" spans="1:8">
      <c r="A3" s="597" t="s">
        <v>1116</v>
      </c>
      <c r="B3" s="597"/>
      <c r="C3" s="597"/>
      <c r="D3" s="597"/>
      <c r="E3" s="597"/>
    </row>
    <row r="4" spans="1:8">
      <c r="A4" s="216"/>
      <c r="B4" s="216"/>
      <c r="C4" s="216"/>
      <c r="D4" s="216"/>
      <c r="E4" s="216"/>
    </row>
    <row r="5" spans="1:8" ht="16.5" thickBot="1">
      <c r="D5" s="588" t="s">
        <v>1132</v>
      </c>
      <c r="E5" s="588"/>
    </row>
    <row r="6" spans="1:8" ht="16.5" thickBot="1">
      <c r="A6" s="217" t="s">
        <v>117</v>
      </c>
      <c r="B6" s="599" t="s">
        <v>409</v>
      </c>
      <c r="C6" s="600"/>
      <c r="D6" s="601" t="s">
        <v>410</v>
      </c>
      <c r="E6" s="602"/>
    </row>
    <row r="7" spans="1:8">
      <c r="A7" s="521" t="s">
        <v>492</v>
      </c>
      <c r="B7" s="240"/>
      <c r="C7" s="240"/>
      <c r="D7" s="240"/>
      <c r="E7" s="263"/>
    </row>
    <row r="8" spans="1:8">
      <c r="A8" s="241" t="s">
        <v>374</v>
      </c>
      <c r="B8" s="220" t="s">
        <v>233</v>
      </c>
      <c r="C8" s="220" t="s">
        <v>233</v>
      </c>
      <c r="D8" s="219" t="s">
        <v>233</v>
      </c>
      <c r="E8" s="220" t="s">
        <v>233</v>
      </c>
    </row>
    <row r="9" spans="1:8">
      <c r="A9" s="241" t="s">
        <v>375</v>
      </c>
      <c r="B9" s="242"/>
      <c r="C9" s="242"/>
      <c r="D9" s="241"/>
      <c r="E9" s="242"/>
    </row>
    <row r="10" spans="1:8">
      <c r="A10" s="241" t="s">
        <v>376</v>
      </c>
      <c r="B10" s="220" t="s">
        <v>233</v>
      </c>
      <c r="C10" s="220" t="s">
        <v>233</v>
      </c>
      <c r="D10" s="219" t="s">
        <v>233</v>
      </c>
      <c r="E10" s="220" t="s">
        <v>233</v>
      </c>
    </row>
    <row r="11" spans="1:8">
      <c r="A11" s="241" t="s">
        <v>377</v>
      </c>
      <c r="B11" s="220" t="s">
        <v>233</v>
      </c>
      <c r="C11" s="220" t="s">
        <v>233</v>
      </c>
      <c r="D11" s="219" t="s">
        <v>233</v>
      </c>
      <c r="E11" s="220" t="s">
        <v>233</v>
      </c>
    </row>
    <row r="12" spans="1:8" ht="16.5" thickBot="1">
      <c r="A12" s="241" t="s">
        <v>378</v>
      </c>
      <c r="B12" s="220" t="s">
        <v>233</v>
      </c>
      <c r="C12" s="220" t="s">
        <v>233</v>
      </c>
      <c r="D12" s="219" t="s">
        <v>233</v>
      </c>
      <c r="E12" s="220" t="s">
        <v>233</v>
      </c>
    </row>
    <row r="13" spans="1:8">
      <c r="A13" s="241" t="s">
        <v>379</v>
      </c>
      <c r="B13" s="242"/>
      <c r="C13" s="242"/>
      <c r="D13" s="241"/>
      <c r="E13" s="242"/>
      <c r="H13" s="346"/>
    </row>
    <row r="14" spans="1:8">
      <c r="A14" s="241" t="s">
        <v>381</v>
      </c>
      <c r="B14" s="220" t="s">
        <v>233</v>
      </c>
      <c r="C14" s="220" t="s">
        <v>233</v>
      </c>
      <c r="D14" s="219" t="s">
        <v>233</v>
      </c>
      <c r="E14" s="220" t="s">
        <v>233</v>
      </c>
    </row>
    <row r="15" spans="1:8">
      <c r="A15" s="241" t="s">
        <v>382</v>
      </c>
      <c r="B15" s="220" t="s">
        <v>233</v>
      </c>
      <c r="C15" s="220" t="s">
        <v>233</v>
      </c>
      <c r="D15" s="219" t="s">
        <v>233</v>
      </c>
      <c r="E15" s="220" t="s">
        <v>233</v>
      </c>
    </row>
    <row r="16" spans="1:8">
      <c r="A16" s="241" t="s">
        <v>380</v>
      </c>
      <c r="B16" s="242"/>
      <c r="C16" s="242"/>
      <c r="D16" s="241"/>
      <c r="E16" s="242"/>
    </row>
    <row r="17" spans="1:5">
      <c r="A17" s="241" t="s">
        <v>383</v>
      </c>
      <c r="B17" s="220" t="s">
        <v>233</v>
      </c>
      <c r="C17" s="220" t="s">
        <v>233</v>
      </c>
      <c r="D17" s="219" t="s">
        <v>233</v>
      </c>
      <c r="E17" s="220" t="s">
        <v>233</v>
      </c>
    </row>
    <row r="18" spans="1:5">
      <c r="A18" s="241" t="s">
        <v>384</v>
      </c>
      <c r="B18" s="242">
        <v>24530</v>
      </c>
      <c r="C18" s="220" t="s">
        <v>233</v>
      </c>
      <c r="D18" s="241">
        <v>24530</v>
      </c>
      <c r="E18" s="220" t="s">
        <v>233</v>
      </c>
    </row>
    <row r="19" spans="1:5">
      <c r="A19" s="241" t="s">
        <v>385</v>
      </c>
      <c r="B19" s="242">
        <v>17349</v>
      </c>
      <c r="C19" s="219" t="s">
        <v>233</v>
      </c>
      <c r="D19" s="241">
        <v>1489459</v>
      </c>
      <c r="E19" s="219" t="s">
        <v>233</v>
      </c>
    </row>
    <row r="20" spans="1:5">
      <c r="A20" s="249" t="s">
        <v>386</v>
      </c>
      <c r="B20" s="241">
        <v>750</v>
      </c>
      <c r="C20" s="219" t="s">
        <v>233</v>
      </c>
      <c r="D20" s="241">
        <v>1800</v>
      </c>
      <c r="E20" s="219" t="s">
        <v>233</v>
      </c>
    </row>
    <row r="21" spans="1:5">
      <c r="A21" s="204" t="s">
        <v>387</v>
      </c>
      <c r="B21" s="241">
        <v>3170</v>
      </c>
      <c r="C21" s="219" t="s">
        <v>233</v>
      </c>
      <c r="D21" s="241">
        <v>3170</v>
      </c>
      <c r="E21" s="219" t="s">
        <v>233</v>
      </c>
    </row>
    <row r="22" spans="1:5">
      <c r="A22" s="204" t="s">
        <v>388</v>
      </c>
      <c r="B22" s="241">
        <v>28568</v>
      </c>
      <c r="C22" s="219" t="s">
        <v>233</v>
      </c>
      <c r="D22" s="241">
        <v>32968</v>
      </c>
      <c r="E22" s="219" t="s">
        <v>233</v>
      </c>
    </row>
    <row r="23" spans="1:5">
      <c r="A23" s="204" t="s">
        <v>1086</v>
      </c>
      <c r="B23" s="219" t="s">
        <v>233</v>
      </c>
      <c r="C23" s="219" t="s">
        <v>233</v>
      </c>
      <c r="D23" s="241">
        <v>7997</v>
      </c>
      <c r="E23" s="219" t="s">
        <v>233</v>
      </c>
    </row>
    <row r="24" spans="1:5">
      <c r="A24" s="204" t="s">
        <v>1087</v>
      </c>
      <c r="B24" s="241">
        <v>13868</v>
      </c>
      <c r="C24" s="219" t="s">
        <v>233</v>
      </c>
      <c r="D24" s="241">
        <v>14979</v>
      </c>
      <c r="E24" s="219" t="s">
        <v>233</v>
      </c>
    </row>
    <row r="25" spans="1:5">
      <c r="A25" s="249" t="s">
        <v>389</v>
      </c>
      <c r="B25" s="241"/>
      <c r="C25" s="219"/>
      <c r="D25" s="241"/>
      <c r="E25" s="219"/>
    </row>
    <row r="26" spans="1:5">
      <c r="A26" s="249" t="s">
        <v>528</v>
      </c>
      <c r="B26" s="241">
        <f>2810724+69936688.5</f>
        <v>72747412.5</v>
      </c>
      <c r="C26" s="219" t="s">
        <v>233</v>
      </c>
      <c r="D26" s="241">
        <v>69936688.5</v>
      </c>
      <c r="E26" s="219" t="s">
        <v>233</v>
      </c>
    </row>
    <row r="27" spans="1:5">
      <c r="A27" s="249" t="s">
        <v>529</v>
      </c>
      <c r="B27" s="241">
        <v>58000</v>
      </c>
      <c r="C27" s="219" t="s">
        <v>233</v>
      </c>
      <c r="D27" s="241">
        <v>58000</v>
      </c>
      <c r="E27" s="219" t="s">
        <v>233</v>
      </c>
    </row>
    <row r="28" spans="1:5">
      <c r="A28" s="368" t="s">
        <v>646</v>
      </c>
      <c r="B28" s="219" t="s">
        <v>233</v>
      </c>
      <c r="C28" s="219" t="s">
        <v>233</v>
      </c>
      <c r="D28" s="219" t="s">
        <v>233</v>
      </c>
      <c r="E28" s="219" t="s">
        <v>233</v>
      </c>
    </row>
    <row r="29" spans="1:5">
      <c r="A29" s="368" t="s">
        <v>647</v>
      </c>
      <c r="B29" s="219" t="s">
        <v>233</v>
      </c>
      <c r="C29" s="219" t="s">
        <v>233</v>
      </c>
      <c r="D29" s="219" t="s">
        <v>233</v>
      </c>
      <c r="E29" s="219" t="s">
        <v>233</v>
      </c>
    </row>
    <row r="30" spans="1:5">
      <c r="A30" s="368" t="s">
        <v>904</v>
      </c>
      <c r="B30" s="219" t="s">
        <v>233</v>
      </c>
      <c r="C30" s="219" t="s">
        <v>233</v>
      </c>
      <c r="D30" s="219" t="s">
        <v>233</v>
      </c>
      <c r="E30" s="219" t="s">
        <v>233</v>
      </c>
    </row>
    <row r="31" spans="1:5">
      <c r="A31" s="368" t="s">
        <v>1032</v>
      </c>
      <c r="B31" s="241">
        <v>7289678</v>
      </c>
      <c r="C31" s="220" t="s">
        <v>233</v>
      </c>
      <c r="D31" s="241">
        <v>7755613</v>
      </c>
      <c r="E31" s="220" t="s">
        <v>233</v>
      </c>
    </row>
    <row r="32" spans="1:5">
      <c r="A32" s="368" t="s">
        <v>1033</v>
      </c>
      <c r="B32" s="241">
        <v>2771126</v>
      </c>
      <c r="C32" s="220" t="s">
        <v>233</v>
      </c>
      <c r="D32" s="241">
        <v>2995218</v>
      </c>
      <c r="E32" s="220" t="s">
        <v>233</v>
      </c>
    </row>
    <row r="33" spans="1:7">
      <c r="A33" s="368" t="s">
        <v>1034</v>
      </c>
      <c r="B33" s="241">
        <v>1592548</v>
      </c>
      <c r="C33" s="220" t="s">
        <v>233</v>
      </c>
      <c r="D33" s="241">
        <v>57802</v>
      </c>
      <c r="E33" s="220" t="s">
        <v>233</v>
      </c>
    </row>
    <row r="34" spans="1:7">
      <c r="A34" s="368" t="s">
        <v>1035</v>
      </c>
      <c r="B34" s="241">
        <v>3168935</v>
      </c>
      <c r="C34" s="220" t="s">
        <v>233</v>
      </c>
      <c r="D34" s="241">
        <v>2924512</v>
      </c>
      <c r="E34" s="220" t="s">
        <v>233</v>
      </c>
    </row>
    <row r="35" spans="1:7">
      <c r="A35" s="368" t="s">
        <v>1036</v>
      </c>
      <c r="B35" s="226">
        <v>7000</v>
      </c>
      <c r="C35" s="220" t="s">
        <v>233</v>
      </c>
      <c r="D35" s="219" t="s">
        <v>233</v>
      </c>
      <c r="E35" s="220" t="s">
        <v>233</v>
      </c>
      <c r="G35" s="209" t="s">
        <v>105</v>
      </c>
    </row>
    <row r="36" spans="1:7" ht="16.5" thickBot="1">
      <c r="A36" s="369" t="s">
        <v>1037</v>
      </c>
      <c r="B36" s="247">
        <v>7346342</v>
      </c>
      <c r="C36" s="370" t="s">
        <v>233</v>
      </c>
      <c r="D36" s="247">
        <v>6449577</v>
      </c>
      <c r="E36" s="370" t="s">
        <v>233</v>
      </c>
    </row>
    <row r="37" spans="1:7">
      <c r="A37" s="371"/>
      <c r="C37" s="516"/>
      <c r="D37" s="591" t="s">
        <v>1410</v>
      </c>
      <c r="E37" s="591"/>
    </row>
    <row r="38" spans="1:7">
      <c r="A38" s="598" t="s">
        <v>805</v>
      </c>
      <c r="B38" s="598"/>
      <c r="C38" s="598"/>
      <c r="D38" s="598"/>
      <c r="E38" s="598"/>
    </row>
    <row r="39" spans="1:7">
      <c r="A39" s="596" t="s">
        <v>253</v>
      </c>
      <c r="B39" s="596"/>
      <c r="C39" s="596"/>
      <c r="D39" s="596"/>
      <c r="E39" s="596"/>
    </row>
    <row r="40" spans="1:7">
      <c r="A40" s="519"/>
      <c r="B40" s="519"/>
      <c r="C40" s="519"/>
      <c r="D40" s="519"/>
      <c r="E40" s="519"/>
    </row>
    <row r="41" spans="1:7">
      <c r="A41" s="597" t="s">
        <v>1116</v>
      </c>
      <c r="B41" s="597"/>
      <c r="C41" s="597"/>
      <c r="D41" s="597"/>
      <c r="E41" s="597"/>
    </row>
    <row r="42" spans="1:7">
      <c r="A42" s="520"/>
      <c r="B42" s="520"/>
      <c r="C42" s="520"/>
      <c r="D42" s="520"/>
      <c r="E42" s="520"/>
    </row>
    <row r="43" spans="1:7" ht="16.5" thickBot="1">
      <c r="D43" s="588" t="s">
        <v>1132</v>
      </c>
      <c r="E43" s="588"/>
    </row>
    <row r="44" spans="1:7" ht="16.5" thickBot="1">
      <c r="A44" s="372" t="s">
        <v>249</v>
      </c>
      <c r="B44" s="592" t="s">
        <v>409</v>
      </c>
      <c r="C44" s="593"/>
      <c r="D44" s="594" t="s">
        <v>410</v>
      </c>
      <c r="E44" s="595"/>
    </row>
    <row r="45" spans="1:7">
      <c r="A45" s="373" t="s">
        <v>1038</v>
      </c>
      <c r="B45" s="374" t="s">
        <v>233</v>
      </c>
      <c r="C45" s="374" t="s">
        <v>233</v>
      </c>
      <c r="D45" s="240">
        <f>11573720-136500</f>
        <v>11437220</v>
      </c>
      <c r="E45" s="374" t="s">
        <v>233</v>
      </c>
    </row>
    <row r="46" spans="1:7">
      <c r="A46" s="368" t="s">
        <v>648</v>
      </c>
      <c r="B46" s="219" t="s">
        <v>233</v>
      </c>
      <c r="C46" s="219" t="s">
        <v>233</v>
      </c>
      <c r="D46" s="241">
        <v>40304</v>
      </c>
      <c r="E46" s="219" t="s">
        <v>233</v>
      </c>
    </row>
    <row r="47" spans="1:7">
      <c r="A47" s="368" t="s">
        <v>1039</v>
      </c>
      <c r="B47" s="219" t="s">
        <v>233</v>
      </c>
      <c r="C47" s="219" t="s">
        <v>233</v>
      </c>
      <c r="D47" s="241">
        <v>658632</v>
      </c>
      <c r="E47" s="219" t="s">
        <v>233</v>
      </c>
    </row>
    <row r="48" spans="1:7">
      <c r="A48" s="368" t="s">
        <v>1040</v>
      </c>
      <c r="B48" s="241">
        <v>7987</v>
      </c>
      <c r="C48" s="219" t="s">
        <v>233</v>
      </c>
      <c r="D48" s="241">
        <v>7987</v>
      </c>
      <c r="E48" s="219" t="s">
        <v>233</v>
      </c>
      <c r="F48" s="337" t="s">
        <v>105</v>
      </c>
      <c r="G48" s="209" t="s">
        <v>105</v>
      </c>
    </row>
    <row r="49" spans="1:6">
      <c r="A49" s="368" t="s">
        <v>1041</v>
      </c>
      <c r="B49" s="241">
        <v>3150</v>
      </c>
      <c r="C49" s="219" t="s">
        <v>233</v>
      </c>
      <c r="D49" s="219" t="s">
        <v>233</v>
      </c>
      <c r="E49" s="219" t="s">
        <v>233</v>
      </c>
      <c r="F49" s="209" t="s">
        <v>105</v>
      </c>
    </row>
    <row r="50" spans="1:6">
      <c r="A50" s="368" t="s">
        <v>1042</v>
      </c>
      <c r="B50" s="241">
        <f>480736.02+100387</f>
        <v>581123.02</v>
      </c>
      <c r="C50" s="219" t="s">
        <v>233</v>
      </c>
      <c r="D50" s="241">
        <f>480736.02+91679</f>
        <v>572415.02</v>
      </c>
      <c r="E50" s="219" t="s">
        <v>233</v>
      </c>
    </row>
    <row r="51" spans="1:6">
      <c r="A51" s="249" t="s">
        <v>1099</v>
      </c>
      <c r="B51" s="241">
        <v>12569588</v>
      </c>
      <c r="C51" s="219" t="s">
        <v>233</v>
      </c>
      <c r="D51" s="241">
        <f>8057416</f>
        <v>8057416</v>
      </c>
      <c r="E51" s="219" t="s">
        <v>233</v>
      </c>
    </row>
    <row r="52" spans="1:6">
      <c r="A52" s="249" t="s">
        <v>1043</v>
      </c>
      <c r="B52" s="219" t="s">
        <v>233</v>
      </c>
      <c r="C52" s="219" t="s">
        <v>233</v>
      </c>
      <c r="D52" s="219" t="s">
        <v>233</v>
      </c>
      <c r="E52" s="219" t="s">
        <v>233</v>
      </c>
    </row>
    <row r="53" spans="1:6">
      <c r="A53" s="249" t="s">
        <v>1044</v>
      </c>
      <c r="B53" s="241">
        <v>9201504</v>
      </c>
      <c r="C53" s="219" t="s">
        <v>233</v>
      </c>
      <c r="D53" s="241">
        <v>6922096</v>
      </c>
      <c r="E53" s="219" t="s">
        <v>233</v>
      </c>
    </row>
    <row r="54" spans="1:6">
      <c r="A54" s="249" t="s">
        <v>1045</v>
      </c>
      <c r="B54" s="219" t="s">
        <v>233</v>
      </c>
      <c r="C54" s="219" t="s">
        <v>233</v>
      </c>
      <c r="D54" s="219" t="s">
        <v>233</v>
      </c>
      <c r="E54" s="219" t="s">
        <v>233</v>
      </c>
    </row>
    <row r="55" spans="1:6">
      <c r="A55" s="249" t="s">
        <v>1046</v>
      </c>
      <c r="B55" s="219" t="s">
        <v>233</v>
      </c>
      <c r="C55" s="219" t="s">
        <v>233</v>
      </c>
      <c r="D55" s="241">
        <v>8410</v>
      </c>
      <c r="E55" s="219" t="s">
        <v>233</v>
      </c>
    </row>
    <row r="56" spans="1:6">
      <c r="A56" s="249" t="s">
        <v>1047</v>
      </c>
      <c r="B56" s="241">
        <v>1196113</v>
      </c>
      <c r="C56" s="219" t="s">
        <v>233</v>
      </c>
      <c r="D56" s="241">
        <f>15000+4433601</f>
        <v>4448601</v>
      </c>
      <c r="E56" s="219" t="s">
        <v>233</v>
      </c>
    </row>
    <row r="57" spans="1:6">
      <c r="A57" s="249" t="s">
        <v>1048</v>
      </c>
      <c r="B57" s="219" t="s">
        <v>233</v>
      </c>
      <c r="C57" s="219" t="s">
        <v>233</v>
      </c>
      <c r="D57" s="241">
        <v>2198405</v>
      </c>
      <c r="E57" s="219" t="s">
        <v>233</v>
      </c>
    </row>
    <row r="58" spans="1:6">
      <c r="A58" s="249" t="s">
        <v>1049</v>
      </c>
      <c r="B58" s="219" t="s">
        <v>233</v>
      </c>
      <c r="C58" s="219" t="s">
        <v>233</v>
      </c>
      <c r="D58" s="219" t="s">
        <v>233</v>
      </c>
      <c r="E58" s="219" t="s">
        <v>233</v>
      </c>
    </row>
    <row r="59" spans="1:6">
      <c r="A59" s="249" t="s">
        <v>1050</v>
      </c>
      <c r="B59" s="241">
        <v>1024500</v>
      </c>
      <c r="C59" s="219" t="s">
        <v>233</v>
      </c>
      <c r="D59" s="241">
        <v>7003156</v>
      </c>
      <c r="E59" s="219" t="s">
        <v>233</v>
      </c>
    </row>
    <row r="60" spans="1:6">
      <c r="A60" s="249" t="s">
        <v>1051</v>
      </c>
      <c r="B60" s="219" t="s">
        <v>233</v>
      </c>
      <c r="C60" s="219" t="s">
        <v>233</v>
      </c>
      <c r="D60" s="241">
        <v>272380</v>
      </c>
      <c r="E60" s="219" t="s">
        <v>233</v>
      </c>
    </row>
    <row r="61" spans="1:6">
      <c r="A61" s="249" t="s">
        <v>1052</v>
      </c>
      <c r="B61" s="241">
        <v>66779</v>
      </c>
      <c r="C61" s="219" t="s">
        <v>233</v>
      </c>
      <c r="D61" s="241">
        <v>150905</v>
      </c>
      <c r="E61" s="219" t="s">
        <v>233</v>
      </c>
    </row>
    <row r="62" spans="1:6">
      <c r="A62" s="249" t="s">
        <v>1053</v>
      </c>
      <c r="B62" s="226">
        <v>3559744</v>
      </c>
      <c r="C62" s="219" t="s">
        <v>233</v>
      </c>
      <c r="D62" s="219" t="s">
        <v>233</v>
      </c>
      <c r="E62" s="219" t="s">
        <v>233</v>
      </c>
    </row>
    <row r="63" spans="1:6">
      <c r="A63" s="248" t="s">
        <v>1054</v>
      </c>
      <c r="B63" s="447">
        <v>1640000</v>
      </c>
      <c r="C63" s="218" t="s">
        <v>233</v>
      </c>
      <c r="D63" s="447">
        <v>1340000</v>
      </c>
      <c r="E63" s="218" t="s">
        <v>233</v>
      </c>
    </row>
    <row r="64" spans="1:6">
      <c r="A64" s="241" t="s">
        <v>1055</v>
      </c>
      <c r="B64" s="219" t="s">
        <v>233</v>
      </c>
      <c r="C64" s="219" t="s">
        <v>233</v>
      </c>
      <c r="D64" s="220" t="s">
        <v>233</v>
      </c>
      <c r="E64" s="219" t="s">
        <v>233</v>
      </c>
    </row>
    <row r="65" spans="1:8">
      <c r="A65" s="241" t="s">
        <v>1056</v>
      </c>
      <c r="B65" s="242">
        <f>73996+19620</f>
        <v>93616</v>
      </c>
      <c r="C65" s="219" t="s">
        <v>233</v>
      </c>
      <c r="D65" s="242">
        <v>221562</v>
      </c>
      <c r="E65" s="219" t="s">
        <v>233</v>
      </c>
    </row>
    <row r="66" spans="1:8">
      <c r="A66" s="249" t="s">
        <v>1057</v>
      </c>
      <c r="B66" s="241">
        <v>1149561</v>
      </c>
      <c r="C66" s="219" t="s">
        <v>233</v>
      </c>
      <c r="D66" s="241">
        <f>1080913+1289412</f>
        <v>2370325</v>
      </c>
      <c r="E66" s="219" t="s">
        <v>233</v>
      </c>
    </row>
    <row r="67" spans="1:8">
      <c r="A67" s="249" t="s">
        <v>1058</v>
      </c>
      <c r="B67" s="219" t="s">
        <v>233</v>
      </c>
      <c r="C67" s="219" t="s">
        <v>233</v>
      </c>
      <c r="D67" s="219" t="s">
        <v>233</v>
      </c>
      <c r="E67" s="219" t="s">
        <v>233</v>
      </c>
    </row>
    <row r="68" spans="1:8">
      <c r="A68" s="249" t="s">
        <v>1059</v>
      </c>
      <c r="B68" s="219" t="s">
        <v>233</v>
      </c>
      <c r="C68" s="219" t="s">
        <v>233</v>
      </c>
      <c r="D68" s="219" t="s">
        <v>233</v>
      </c>
      <c r="E68" s="219" t="s">
        <v>233</v>
      </c>
    </row>
    <row r="69" spans="1:8">
      <c r="A69" s="249" t="s">
        <v>1060</v>
      </c>
      <c r="B69" s="241">
        <v>2916</v>
      </c>
      <c r="C69" s="219" t="s">
        <v>233</v>
      </c>
      <c r="D69" s="241">
        <v>2916</v>
      </c>
      <c r="E69" s="219" t="s">
        <v>233</v>
      </c>
    </row>
    <row r="70" spans="1:8">
      <c r="A70" s="249" t="s">
        <v>1061</v>
      </c>
      <c r="B70" s="219" t="s">
        <v>233</v>
      </c>
      <c r="C70" s="219" t="s">
        <v>233</v>
      </c>
      <c r="D70" s="241">
        <v>60000</v>
      </c>
      <c r="E70" s="219" t="s">
        <v>233</v>
      </c>
    </row>
    <row r="71" spans="1:8">
      <c r="A71" s="249" t="s">
        <v>1062</v>
      </c>
      <c r="B71" s="241">
        <v>8509</v>
      </c>
      <c r="C71" s="219" t="s">
        <v>233</v>
      </c>
      <c r="D71" s="241">
        <v>189529</v>
      </c>
      <c r="E71" s="219" t="s">
        <v>233</v>
      </c>
      <c r="H71" s="267"/>
    </row>
    <row r="72" spans="1:8">
      <c r="A72" s="249" t="s">
        <v>1063</v>
      </c>
      <c r="B72" s="219" t="s">
        <v>233</v>
      </c>
      <c r="C72" s="219" t="s">
        <v>233</v>
      </c>
      <c r="D72" s="220" t="s">
        <v>233</v>
      </c>
      <c r="E72" s="219" t="s">
        <v>233</v>
      </c>
    </row>
    <row r="73" spans="1:8">
      <c r="A73" s="241" t="s">
        <v>1064</v>
      </c>
      <c r="B73" s="219" t="s">
        <v>233</v>
      </c>
      <c r="C73" s="219" t="s">
        <v>233</v>
      </c>
      <c r="D73" s="220" t="s">
        <v>233</v>
      </c>
      <c r="E73" s="219" t="s">
        <v>233</v>
      </c>
    </row>
    <row r="74" spans="1:8" ht="16.5" thickBot="1">
      <c r="A74" s="247" t="s">
        <v>1065</v>
      </c>
      <c r="B74" s="335" t="s">
        <v>233</v>
      </c>
      <c r="C74" s="335" t="s">
        <v>233</v>
      </c>
      <c r="D74" s="370" t="s">
        <v>233</v>
      </c>
      <c r="E74" s="335" t="s">
        <v>233</v>
      </c>
    </row>
    <row r="75" spans="1:8">
      <c r="A75" s="371"/>
      <c r="C75" s="516"/>
      <c r="D75" s="591" t="s">
        <v>1411</v>
      </c>
      <c r="E75" s="591"/>
    </row>
    <row r="76" spans="1:8">
      <c r="A76" s="598" t="s">
        <v>1078</v>
      </c>
      <c r="B76" s="598"/>
      <c r="C76" s="598"/>
      <c r="D76" s="598"/>
      <c r="E76" s="598"/>
    </row>
    <row r="77" spans="1:8">
      <c r="A77" s="596" t="s">
        <v>253</v>
      </c>
      <c r="B77" s="596"/>
      <c r="C77" s="596"/>
      <c r="D77" s="596"/>
      <c r="E77" s="596"/>
    </row>
    <row r="78" spans="1:8">
      <c r="A78" s="519"/>
      <c r="B78" s="519"/>
      <c r="C78" s="519"/>
      <c r="D78" s="519"/>
      <c r="E78" s="519"/>
    </row>
    <row r="79" spans="1:8">
      <c r="A79" s="597" t="s">
        <v>1116</v>
      </c>
      <c r="B79" s="597"/>
      <c r="C79" s="597"/>
      <c r="D79" s="597"/>
      <c r="E79" s="597"/>
    </row>
    <row r="80" spans="1:8">
      <c r="A80" s="520"/>
      <c r="B80" s="520"/>
      <c r="C80" s="520"/>
      <c r="D80" s="520"/>
      <c r="E80" s="520"/>
    </row>
    <row r="81" spans="1:5" ht="16.5" thickBot="1">
      <c r="D81" s="588" t="s">
        <v>1132</v>
      </c>
      <c r="E81" s="588"/>
    </row>
    <row r="82" spans="1:5" ht="16.5" thickBot="1">
      <c r="A82" s="372" t="s">
        <v>249</v>
      </c>
      <c r="B82" s="589" t="s">
        <v>409</v>
      </c>
      <c r="C82" s="590"/>
      <c r="D82" s="594" t="s">
        <v>410</v>
      </c>
      <c r="E82" s="595"/>
    </row>
    <row r="83" spans="1:5">
      <c r="A83" s="241" t="s">
        <v>1066</v>
      </c>
      <c r="B83" s="218" t="s">
        <v>233</v>
      </c>
      <c r="C83" s="218" t="s">
        <v>233</v>
      </c>
      <c r="D83" s="220" t="s">
        <v>233</v>
      </c>
      <c r="E83" s="219" t="s">
        <v>233</v>
      </c>
    </row>
    <row r="84" spans="1:5">
      <c r="A84" s="241" t="s">
        <v>1067</v>
      </c>
      <c r="B84" s="219" t="s">
        <v>233</v>
      </c>
      <c r="C84" s="219" t="s">
        <v>233</v>
      </c>
      <c r="D84" s="242">
        <v>7904</v>
      </c>
      <c r="E84" s="219" t="s">
        <v>233</v>
      </c>
    </row>
    <row r="85" spans="1:5">
      <c r="A85" s="241" t="s">
        <v>1068</v>
      </c>
      <c r="B85" s="242">
        <v>1244043</v>
      </c>
      <c r="C85" s="219" t="s">
        <v>233</v>
      </c>
      <c r="D85" s="242">
        <v>4075585</v>
      </c>
      <c r="E85" s="219" t="s">
        <v>233</v>
      </c>
    </row>
    <row r="86" spans="1:5">
      <c r="A86" s="241" t="s">
        <v>1069</v>
      </c>
      <c r="B86" s="242">
        <v>63257</v>
      </c>
      <c r="C86" s="219" t="s">
        <v>233</v>
      </c>
      <c r="D86" s="242">
        <v>62977</v>
      </c>
      <c r="E86" s="219" t="s">
        <v>233</v>
      </c>
    </row>
    <row r="87" spans="1:5">
      <c r="A87" s="241" t="s">
        <v>1070</v>
      </c>
      <c r="B87" s="218" t="s">
        <v>233</v>
      </c>
      <c r="C87" s="219" t="s">
        <v>233</v>
      </c>
      <c r="D87" s="220" t="s">
        <v>233</v>
      </c>
      <c r="E87" s="219" t="s">
        <v>233</v>
      </c>
    </row>
    <row r="88" spans="1:5">
      <c r="A88" s="241" t="s">
        <v>1071</v>
      </c>
      <c r="B88" s="219" t="s">
        <v>233</v>
      </c>
      <c r="C88" s="219" t="s">
        <v>233</v>
      </c>
      <c r="D88" s="242">
        <v>165000</v>
      </c>
      <c r="E88" s="219" t="s">
        <v>233</v>
      </c>
    </row>
    <row r="89" spans="1:5">
      <c r="A89" s="249" t="s">
        <v>1088</v>
      </c>
      <c r="B89" s="241">
        <v>750</v>
      </c>
      <c r="C89" s="219" t="s">
        <v>233</v>
      </c>
      <c r="D89" s="241">
        <v>3314767</v>
      </c>
      <c r="E89" s="219" t="s">
        <v>233</v>
      </c>
    </row>
    <row r="90" spans="1:5">
      <c r="A90" s="249" t="s">
        <v>1097</v>
      </c>
      <c r="B90" s="218" t="s">
        <v>233</v>
      </c>
      <c r="C90" s="219" t="s">
        <v>233</v>
      </c>
      <c r="D90" s="241">
        <v>148380</v>
      </c>
      <c r="E90" s="219" t="s">
        <v>233</v>
      </c>
    </row>
    <row r="91" spans="1:5">
      <c r="A91" s="249" t="s">
        <v>1098</v>
      </c>
      <c r="B91" s="219" t="s">
        <v>233</v>
      </c>
      <c r="C91" s="219" t="s">
        <v>233</v>
      </c>
      <c r="D91" s="241">
        <v>84774</v>
      </c>
      <c r="E91" s="219" t="s">
        <v>233</v>
      </c>
    </row>
    <row r="92" spans="1:5">
      <c r="A92" s="249" t="s">
        <v>1100</v>
      </c>
      <c r="B92" s="241">
        <v>20538</v>
      </c>
      <c r="C92" s="219" t="s">
        <v>233</v>
      </c>
      <c r="D92" s="241">
        <v>31662</v>
      </c>
      <c r="E92" s="219" t="s">
        <v>233</v>
      </c>
    </row>
    <row r="93" spans="1:5">
      <c r="A93" s="249" t="s">
        <v>1101</v>
      </c>
      <c r="B93" s="219" t="s">
        <v>233</v>
      </c>
      <c r="C93" s="219" t="s">
        <v>233</v>
      </c>
      <c r="D93" s="241">
        <v>3693055</v>
      </c>
      <c r="E93" s="219" t="s">
        <v>233</v>
      </c>
    </row>
    <row r="94" spans="1:5">
      <c r="A94" s="249" t="s">
        <v>1103</v>
      </c>
      <c r="B94" s="241">
        <v>16340</v>
      </c>
      <c r="C94" s="219" t="s">
        <v>233</v>
      </c>
      <c r="D94" s="241">
        <v>1479</v>
      </c>
      <c r="E94" s="219" t="s">
        <v>233</v>
      </c>
    </row>
    <row r="95" spans="1:5">
      <c r="A95" s="249" t="s">
        <v>1136</v>
      </c>
      <c r="B95" s="241">
        <v>2200</v>
      </c>
      <c r="C95" s="219" t="s">
        <v>233</v>
      </c>
      <c r="D95" s="219" t="s">
        <v>233</v>
      </c>
      <c r="E95" s="219" t="s">
        <v>233</v>
      </c>
    </row>
    <row r="96" spans="1:5">
      <c r="A96" s="249" t="s">
        <v>1137</v>
      </c>
      <c r="B96" s="241">
        <v>3834</v>
      </c>
      <c r="C96" s="219" t="s">
        <v>233</v>
      </c>
      <c r="D96" s="219" t="s">
        <v>233</v>
      </c>
      <c r="E96" s="219" t="s">
        <v>233</v>
      </c>
    </row>
    <row r="97" spans="1:7">
      <c r="A97" s="249" t="s">
        <v>1149</v>
      </c>
      <c r="B97" s="241">
        <v>7949</v>
      </c>
      <c r="C97" s="219" t="s">
        <v>233</v>
      </c>
      <c r="D97" s="219" t="s">
        <v>233</v>
      </c>
      <c r="E97" s="219" t="s">
        <v>233</v>
      </c>
    </row>
    <row r="98" spans="1:7">
      <c r="A98" s="447" t="s">
        <v>371</v>
      </c>
      <c r="B98" s="219" t="s">
        <v>233</v>
      </c>
      <c r="C98" s="218" t="s">
        <v>233</v>
      </c>
      <c r="D98" s="378" t="s">
        <v>233</v>
      </c>
      <c r="E98" s="218" t="s">
        <v>233</v>
      </c>
      <c r="G98" s="445"/>
    </row>
    <row r="99" spans="1:7">
      <c r="A99" s="249" t="s">
        <v>775</v>
      </c>
      <c r="B99" s="241">
        <v>1317650</v>
      </c>
      <c r="C99" s="219" t="s">
        <v>233</v>
      </c>
      <c r="D99" s="241">
        <v>1318220</v>
      </c>
      <c r="E99" s="219" t="s">
        <v>233</v>
      </c>
    </row>
    <row r="100" spans="1:7">
      <c r="A100" s="249" t="s">
        <v>505</v>
      </c>
      <c r="B100" s="241">
        <v>674425</v>
      </c>
      <c r="C100" s="219" t="s">
        <v>233</v>
      </c>
      <c r="D100" s="241">
        <v>594960</v>
      </c>
      <c r="E100" s="219" t="s">
        <v>233</v>
      </c>
    </row>
    <row r="101" spans="1:7">
      <c r="A101" s="249" t="s">
        <v>506</v>
      </c>
      <c r="B101" s="241">
        <v>287085</v>
      </c>
      <c r="C101" s="219" t="s">
        <v>233</v>
      </c>
      <c r="D101" s="241">
        <v>533147</v>
      </c>
      <c r="E101" s="219" t="s">
        <v>233</v>
      </c>
      <c r="F101" s="209" t="s">
        <v>0</v>
      </c>
    </row>
    <row r="102" spans="1:7">
      <c r="A102" s="249" t="s">
        <v>507</v>
      </c>
      <c r="B102" s="241">
        <v>88000</v>
      </c>
      <c r="C102" s="219" t="s">
        <v>233</v>
      </c>
      <c r="D102" s="241">
        <v>3651070</v>
      </c>
      <c r="E102" s="219" t="s">
        <v>233</v>
      </c>
    </row>
    <row r="103" spans="1:7">
      <c r="A103" s="249" t="s">
        <v>1072</v>
      </c>
      <c r="B103" s="241">
        <v>100000</v>
      </c>
      <c r="C103" s="219" t="s">
        <v>233</v>
      </c>
      <c r="D103" s="241">
        <v>100000</v>
      </c>
      <c r="E103" s="219" t="s">
        <v>233</v>
      </c>
    </row>
    <row r="104" spans="1:7">
      <c r="A104" s="252" t="s">
        <v>1073</v>
      </c>
      <c r="B104" s="321">
        <v>10000</v>
      </c>
      <c r="C104" s="219" t="s">
        <v>233</v>
      </c>
      <c r="D104" s="321">
        <v>10000</v>
      </c>
      <c r="E104" s="219" t="s">
        <v>233</v>
      </c>
    </row>
    <row r="105" spans="1:7" ht="16.5" thickBot="1">
      <c r="A105" s="252" t="s">
        <v>1105</v>
      </c>
      <c r="B105" s="247">
        <v>39373</v>
      </c>
      <c r="C105" s="375" t="s">
        <v>233</v>
      </c>
      <c r="D105" s="247">
        <v>194571</v>
      </c>
      <c r="E105" s="219" t="s">
        <v>233</v>
      </c>
    </row>
    <row r="106" spans="1:7" ht="16.5" thickBot="1">
      <c r="A106" s="210" t="s">
        <v>15</v>
      </c>
      <c r="B106" s="376">
        <f>SUM(B18:B36,B45:B62,B63:B105)</f>
        <v>130049810.52</v>
      </c>
      <c r="C106" s="343"/>
      <c r="D106" s="377"/>
      <c r="E106" s="376">
        <f>SUM(D8:D36,D45:D62,D63:D105)</f>
        <v>155702123.51999998</v>
      </c>
      <c r="G106" s="209" t="s">
        <v>105</v>
      </c>
    </row>
    <row r="107" spans="1:7">
      <c r="A107" s="371"/>
      <c r="C107" s="516"/>
      <c r="D107" s="591" t="s">
        <v>1412</v>
      </c>
      <c r="E107" s="591"/>
    </row>
    <row r="108" spans="1:7">
      <c r="A108" s="371"/>
      <c r="C108" s="543"/>
      <c r="D108" s="544"/>
      <c r="E108" s="544"/>
    </row>
    <row r="109" spans="1:7">
      <c r="A109" s="371"/>
      <c r="C109" s="543"/>
      <c r="D109" s="544"/>
      <c r="E109" s="544"/>
    </row>
    <row r="110" spans="1:7">
      <c r="A110" s="371"/>
      <c r="C110" s="543"/>
      <c r="D110" s="544"/>
      <c r="E110" s="544"/>
    </row>
    <row r="111" spans="1:7">
      <c r="A111" s="371"/>
      <c r="C111" s="543"/>
      <c r="D111" s="544"/>
      <c r="E111" s="544"/>
    </row>
    <row r="112" spans="1:7">
      <c r="A112" s="371"/>
      <c r="C112" s="543"/>
      <c r="D112" s="544"/>
      <c r="E112" s="544"/>
    </row>
    <row r="113" spans="1:5" ht="16.5" thickBot="1">
      <c r="A113" s="598" t="s">
        <v>806</v>
      </c>
      <c r="B113" s="598"/>
      <c r="C113" s="598"/>
      <c r="D113" s="598"/>
      <c r="E113" s="598"/>
    </row>
    <row r="114" spans="1:5">
      <c r="A114" s="522" t="s">
        <v>493</v>
      </c>
      <c r="B114" s="523" t="s">
        <v>233</v>
      </c>
      <c r="C114" s="374" t="s">
        <v>233</v>
      </c>
      <c r="D114" s="453" t="s">
        <v>233</v>
      </c>
      <c r="E114" s="374" t="s">
        <v>233</v>
      </c>
    </row>
    <row r="115" spans="1:5">
      <c r="A115" s="241" t="s">
        <v>392</v>
      </c>
      <c r="B115" s="250" t="s">
        <v>233</v>
      </c>
      <c r="C115" s="219" t="s">
        <v>233</v>
      </c>
      <c r="D115" s="220" t="s">
        <v>233</v>
      </c>
      <c r="E115" s="219" t="s">
        <v>233</v>
      </c>
    </row>
    <row r="116" spans="1:5">
      <c r="A116" s="241" t="s">
        <v>393</v>
      </c>
      <c r="B116" s="250" t="s">
        <v>233</v>
      </c>
      <c r="C116" s="219" t="s">
        <v>233</v>
      </c>
      <c r="D116" s="220" t="s">
        <v>233</v>
      </c>
      <c r="E116" s="219" t="s">
        <v>233</v>
      </c>
    </row>
    <row r="117" spans="1:5">
      <c r="A117" s="241" t="s">
        <v>394</v>
      </c>
      <c r="B117" s="250" t="s">
        <v>233</v>
      </c>
      <c r="C117" s="219" t="s">
        <v>233</v>
      </c>
      <c r="D117" s="220" t="s">
        <v>233</v>
      </c>
      <c r="E117" s="219" t="s">
        <v>233</v>
      </c>
    </row>
    <row r="118" spans="1:5">
      <c r="A118" s="241" t="s">
        <v>395</v>
      </c>
      <c r="B118" s="250" t="s">
        <v>233</v>
      </c>
      <c r="C118" s="219" t="s">
        <v>233</v>
      </c>
      <c r="D118" s="220" t="s">
        <v>233</v>
      </c>
      <c r="E118" s="219" t="s">
        <v>233</v>
      </c>
    </row>
    <row r="119" spans="1:5">
      <c r="A119" s="241" t="s">
        <v>396</v>
      </c>
      <c r="B119" s="250" t="s">
        <v>233</v>
      </c>
      <c r="C119" s="219" t="s">
        <v>233</v>
      </c>
      <c r="D119" s="220" t="s">
        <v>233</v>
      </c>
      <c r="E119" s="219" t="s">
        <v>233</v>
      </c>
    </row>
    <row r="120" spans="1:5">
      <c r="A120" s="241" t="s">
        <v>397</v>
      </c>
      <c r="B120" s="250" t="s">
        <v>233</v>
      </c>
      <c r="C120" s="219" t="s">
        <v>233</v>
      </c>
      <c r="D120" s="220" t="s">
        <v>233</v>
      </c>
      <c r="E120" s="219" t="s">
        <v>233</v>
      </c>
    </row>
    <row r="121" spans="1:5">
      <c r="A121" s="336" t="s">
        <v>118</v>
      </c>
      <c r="B121" s="379"/>
      <c r="C121" s="219"/>
      <c r="D121" s="220"/>
      <c r="E121" s="219"/>
    </row>
    <row r="122" spans="1:5" ht="16.5" thickBot="1">
      <c r="A122" s="380"/>
      <c r="B122" s="381"/>
      <c r="C122" s="375"/>
      <c r="D122" s="221"/>
      <c r="E122" s="375"/>
    </row>
    <row r="123" spans="1:5" ht="16.5" thickBot="1">
      <c r="A123" s="217" t="s">
        <v>119</v>
      </c>
      <c r="B123" s="210">
        <f>B106+B121</f>
        <v>130049810.52</v>
      </c>
      <c r="C123" s="343"/>
      <c r="D123" s="382"/>
      <c r="E123" s="376">
        <f>E106</f>
        <v>155702123.51999998</v>
      </c>
    </row>
    <row r="124" spans="1:5">
      <c r="A124" s="517"/>
      <c r="B124" s="337"/>
      <c r="D124" s="518"/>
      <c r="E124" s="518"/>
    </row>
    <row r="125" spans="1:5">
      <c r="A125" s="517"/>
      <c r="B125" s="337"/>
      <c r="D125" s="518"/>
      <c r="E125" s="518"/>
    </row>
    <row r="126" spans="1:5">
      <c r="A126" s="517"/>
      <c r="B126" s="337"/>
      <c r="D126" s="518"/>
      <c r="E126" s="518"/>
    </row>
    <row r="127" spans="1:5">
      <c r="A127" s="517"/>
      <c r="B127" s="337"/>
      <c r="D127" s="518"/>
      <c r="E127" s="518"/>
    </row>
    <row r="128" spans="1:5" ht="16.5" customHeight="1">
      <c r="A128" s="517"/>
      <c r="B128" s="337"/>
      <c r="D128" s="518"/>
      <c r="E128" s="518"/>
    </row>
    <row r="129" spans="1:5" ht="16.5" customHeight="1">
      <c r="A129" s="517"/>
      <c r="B129" s="337"/>
      <c r="D129" s="518"/>
      <c r="E129" s="518"/>
    </row>
    <row r="130" spans="1:5" ht="16.5" customHeight="1">
      <c r="A130" s="517"/>
      <c r="B130" s="337"/>
      <c r="D130" s="518"/>
      <c r="E130" s="518"/>
    </row>
    <row r="131" spans="1:5" ht="16.5" customHeight="1">
      <c r="A131" s="517"/>
      <c r="B131" s="337"/>
      <c r="D131" s="518"/>
      <c r="E131" s="518"/>
    </row>
    <row r="132" spans="1:5" ht="16.5" customHeight="1">
      <c r="A132" s="517"/>
      <c r="B132" s="337"/>
      <c r="D132" s="518"/>
      <c r="E132" s="518"/>
    </row>
    <row r="133" spans="1:5" ht="16.5" customHeight="1">
      <c r="A133" s="517"/>
      <c r="B133" s="337"/>
      <c r="D133" s="518"/>
      <c r="E133" s="518"/>
    </row>
    <row r="134" spans="1:5" ht="16.5" customHeight="1">
      <c r="A134" s="517"/>
      <c r="B134" s="337"/>
      <c r="D134" s="518"/>
      <c r="E134" s="518"/>
    </row>
    <row r="135" spans="1:5">
      <c r="A135" s="517"/>
      <c r="B135" s="337"/>
      <c r="D135" s="518"/>
      <c r="E135" s="518"/>
    </row>
    <row r="136" spans="1:5">
      <c r="A136" s="517"/>
      <c r="B136" s="337"/>
      <c r="D136" s="518"/>
      <c r="E136" s="518"/>
    </row>
    <row r="137" spans="1:5">
      <c r="A137" s="517"/>
      <c r="B137" s="337"/>
      <c r="D137" s="518"/>
      <c r="E137" s="518"/>
    </row>
    <row r="138" spans="1:5">
      <c r="A138" s="517"/>
      <c r="B138" s="337"/>
      <c r="D138" s="518"/>
      <c r="E138" s="518"/>
    </row>
    <row r="139" spans="1:5">
      <c r="A139" s="517"/>
      <c r="B139" s="337"/>
      <c r="D139" s="518"/>
      <c r="E139" s="518"/>
    </row>
    <row r="140" spans="1:5">
      <c r="A140" s="517"/>
      <c r="B140" s="337"/>
      <c r="D140" s="518"/>
      <c r="E140" s="518"/>
    </row>
    <row r="142" spans="1:5">
      <c r="A142" s="517"/>
      <c r="B142" s="337"/>
      <c r="D142" s="518"/>
      <c r="E142" s="518"/>
    </row>
    <row r="149" spans="1:5">
      <c r="A149" s="570"/>
      <c r="B149" s="570"/>
      <c r="C149" s="570"/>
      <c r="D149" s="570"/>
      <c r="E149" s="570"/>
    </row>
    <row r="150" spans="1:5">
      <c r="A150" s="570" t="s">
        <v>1079</v>
      </c>
      <c r="B150" s="570"/>
      <c r="C150" s="570"/>
      <c r="D150" s="570"/>
      <c r="E150" s="570"/>
    </row>
  </sheetData>
  <mergeCells count="23">
    <mergeCell ref="A1:E1"/>
    <mergeCell ref="A3:E3"/>
    <mergeCell ref="D5:E5"/>
    <mergeCell ref="A38:E38"/>
    <mergeCell ref="A150:E150"/>
    <mergeCell ref="A76:E76"/>
    <mergeCell ref="D82:E82"/>
    <mergeCell ref="A149:E149"/>
    <mergeCell ref="D37:E37"/>
    <mergeCell ref="B6:C6"/>
    <mergeCell ref="D6:E6"/>
    <mergeCell ref="D107:E107"/>
    <mergeCell ref="A113:E113"/>
    <mergeCell ref="A39:E39"/>
    <mergeCell ref="A41:E41"/>
    <mergeCell ref="D43:E43"/>
    <mergeCell ref="B82:C82"/>
    <mergeCell ref="D75:E75"/>
    <mergeCell ref="B44:C44"/>
    <mergeCell ref="D44:E44"/>
    <mergeCell ref="A77:E77"/>
    <mergeCell ref="A79:E79"/>
    <mergeCell ref="D81:E81"/>
  </mergeCells>
  <phoneticPr fontId="0" type="noConversion"/>
  <printOptions horizontalCentered="1"/>
  <pageMargins left="0.19685039370078741" right="0.19685039370078741" top="0.39370078740157483" bottom="0.19685039370078741" header="0" footer="0"/>
  <pageSetup paperSize="9" scale="94" fitToHeight="4" orientation="landscape" horizontalDpi="4294967293" verticalDpi="4294967293" r:id="rId1"/>
  <headerFooter alignWithMargins="0"/>
  <rowBreaks count="2" manualBreakCount="2">
    <brk id="38" max="4" man="1"/>
    <brk id="113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/>
  <dimension ref="A1:R69"/>
  <sheetViews>
    <sheetView view="pageBreakPreview" zoomScaleSheetLayoutView="100" workbookViewId="0">
      <pane xSplit="1" ySplit="7" topLeftCell="I45" activePane="bottomRight" state="frozen"/>
      <selection activeCell="H338" sqref="H337:H338"/>
      <selection pane="topRight" activeCell="H338" sqref="H337:H338"/>
      <selection pane="bottomLeft" activeCell="H338" sqref="H337:H338"/>
      <selection pane="bottomRight" activeCell="Q38" sqref="Q38"/>
    </sheetView>
  </sheetViews>
  <sheetFormatPr defaultColWidth="9.140625" defaultRowHeight="12.75"/>
  <cols>
    <col min="1" max="1" width="43.5703125" style="383" bestFit="1" customWidth="1"/>
    <col min="2" max="2" width="20.5703125" style="383" bestFit="1" customWidth="1"/>
    <col min="3" max="3" width="18.5703125" style="383" bestFit="1" customWidth="1"/>
    <col min="4" max="4" width="15.140625" style="383" bestFit="1" customWidth="1"/>
    <col min="5" max="6" width="20.5703125" style="383" bestFit="1" customWidth="1"/>
    <col min="7" max="7" width="18.5703125" style="383" bestFit="1" customWidth="1"/>
    <col min="8" max="8" width="15.7109375" style="383" customWidth="1"/>
    <col min="9" max="9" width="20.5703125" style="383" bestFit="1" customWidth="1"/>
    <col min="10" max="10" width="21.42578125" style="383" bestFit="1" customWidth="1"/>
    <col min="11" max="11" width="20.5703125" style="383" bestFit="1" customWidth="1"/>
    <col min="12" max="12" width="1.42578125" style="383" bestFit="1" customWidth="1"/>
    <col min="13" max="13" width="16.85546875" style="383" bestFit="1" customWidth="1"/>
    <col min="14" max="16" width="9.140625" style="383"/>
    <col min="17" max="17" width="13.140625" style="383" bestFit="1" customWidth="1"/>
    <col min="18" max="18" width="11.28515625" style="383" bestFit="1" customWidth="1"/>
    <col min="19" max="16384" width="9.140625" style="383"/>
  </cols>
  <sheetData>
    <row r="1" spans="1:11" ht="15.75" customHeight="1">
      <c r="A1" s="597" t="s">
        <v>85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</row>
    <row r="2" spans="1:11" ht="15.75">
      <c r="A2" s="215"/>
      <c r="B2" s="215"/>
      <c r="C2" s="215"/>
      <c r="D2" s="215"/>
      <c r="E2" s="215"/>
      <c r="F2" s="209"/>
      <c r="G2" s="209"/>
      <c r="H2" s="209"/>
      <c r="I2" s="209"/>
      <c r="J2" s="209"/>
      <c r="K2" s="209"/>
    </row>
    <row r="3" spans="1:11" ht="15.75" customHeight="1">
      <c r="A3" s="597" t="s">
        <v>1116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</row>
    <row r="4" spans="1:11" ht="15.75" customHeight="1">
      <c r="A4" s="384"/>
      <c r="B4" s="384"/>
      <c r="C4" s="384"/>
      <c r="D4" s="384"/>
      <c r="E4" s="384"/>
      <c r="F4" s="384"/>
      <c r="G4" s="384"/>
      <c r="H4" s="384"/>
      <c r="I4" s="384"/>
      <c r="J4" s="588" t="s">
        <v>1113</v>
      </c>
      <c r="K4" s="588"/>
    </row>
    <row r="5" spans="1:11" ht="13.5" thickBot="1">
      <c r="A5" s="385" t="s">
        <v>120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</row>
    <row r="6" spans="1:11" ht="13.5" thickBot="1">
      <c r="A6" s="608" t="s">
        <v>121</v>
      </c>
      <c r="B6" s="604" t="s">
        <v>123</v>
      </c>
      <c r="C6" s="605"/>
      <c r="D6" s="605"/>
      <c r="E6" s="606"/>
      <c r="F6" s="604" t="s">
        <v>124</v>
      </c>
      <c r="G6" s="605"/>
      <c r="H6" s="605"/>
      <c r="I6" s="606"/>
      <c r="J6" s="607" t="s">
        <v>125</v>
      </c>
      <c r="K6" s="606"/>
    </row>
    <row r="7" spans="1:11" s="388" customFormat="1" ht="42.75" customHeight="1" thickBot="1">
      <c r="A7" s="609"/>
      <c r="B7" s="386" t="s">
        <v>245</v>
      </c>
      <c r="C7" s="386" t="s">
        <v>348</v>
      </c>
      <c r="D7" s="386" t="s">
        <v>349</v>
      </c>
      <c r="E7" s="387" t="s">
        <v>350</v>
      </c>
      <c r="F7" s="386" t="s">
        <v>122</v>
      </c>
      <c r="G7" s="386" t="s">
        <v>426</v>
      </c>
      <c r="H7" s="386" t="s">
        <v>351</v>
      </c>
      <c r="I7" s="386" t="s">
        <v>352</v>
      </c>
      <c r="J7" s="386" t="s">
        <v>353</v>
      </c>
      <c r="K7" s="386" t="s">
        <v>354</v>
      </c>
    </row>
    <row r="8" spans="1:11">
      <c r="A8" s="389" t="s">
        <v>126</v>
      </c>
      <c r="B8" s="390"/>
      <c r="C8" s="390"/>
      <c r="D8" s="390"/>
      <c r="E8" s="391"/>
      <c r="F8" s="390"/>
      <c r="G8" s="390"/>
      <c r="H8" s="390"/>
      <c r="I8" s="390"/>
      <c r="J8" s="392"/>
      <c r="K8" s="390"/>
    </row>
    <row r="9" spans="1:11">
      <c r="A9" s="393" t="s">
        <v>127</v>
      </c>
      <c r="B9" s="394"/>
      <c r="C9" s="394"/>
      <c r="D9" s="395"/>
      <c r="E9" s="396"/>
      <c r="F9" s="395"/>
      <c r="G9" s="395"/>
      <c r="H9" s="394"/>
      <c r="I9" s="393"/>
      <c r="J9" s="390"/>
      <c r="K9" s="396"/>
    </row>
    <row r="10" spans="1:11">
      <c r="A10" s="397" t="s">
        <v>86</v>
      </c>
      <c r="B10" s="395">
        <v>9166612</v>
      </c>
      <c r="C10" s="524">
        <v>0</v>
      </c>
      <c r="D10" s="399">
        <v>0</v>
      </c>
      <c r="E10" s="396">
        <f>B10+C10-D10</f>
        <v>9166612</v>
      </c>
      <c r="F10" s="399">
        <v>0</v>
      </c>
      <c r="G10" s="399">
        <v>0</v>
      </c>
      <c r="H10" s="399">
        <v>0</v>
      </c>
      <c r="I10" s="400">
        <v>0</v>
      </c>
      <c r="J10" s="394">
        <f>E10-I10</f>
        <v>9166612</v>
      </c>
      <c r="K10" s="396">
        <v>9166612</v>
      </c>
    </row>
    <row r="11" spans="1:11">
      <c r="A11" s="393" t="s">
        <v>87</v>
      </c>
      <c r="B11" s="399">
        <v>0</v>
      </c>
      <c r="C11" s="399">
        <v>0</v>
      </c>
      <c r="D11" s="399">
        <v>0</v>
      </c>
      <c r="E11" s="401">
        <v>0</v>
      </c>
      <c r="F11" s="399">
        <v>0</v>
      </c>
      <c r="G11" s="399">
        <v>0</v>
      </c>
      <c r="H11" s="399">
        <v>0</v>
      </c>
      <c r="I11" s="400">
        <v>0</v>
      </c>
      <c r="J11" s="394">
        <f t="shared" ref="J11:J38" si="0">E11-I11</f>
        <v>0</v>
      </c>
      <c r="K11" s="402">
        <v>0</v>
      </c>
    </row>
    <row r="12" spans="1:11" ht="15.75">
      <c r="A12" s="393" t="s">
        <v>128</v>
      </c>
      <c r="B12" s="399"/>
      <c r="C12" s="399"/>
      <c r="D12" s="399"/>
      <c r="E12" s="401"/>
      <c r="F12" s="399"/>
      <c r="G12" s="398"/>
      <c r="H12" s="398"/>
      <c r="I12" s="393"/>
      <c r="J12" s="394"/>
      <c r="K12" s="242"/>
    </row>
    <row r="13" spans="1:11">
      <c r="A13" s="393" t="s">
        <v>88</v>
      </c>
      <c r="B13" s="399">
        <v>0</v>
      </c>
      <c r="C13" s="399">
        <v>0</v>
      </c>
      <c r="D13" s="399">
        <v>0</v>
      </c>
      <c r="E13" s="401">
        <v>0</v>
      </c>
      <c r="F13" s="403">
        <v>0</v>
      </c>
      <c r="G13" s="399">
        <v>0</v>
      </c>
      <c r="H13" s="399">
        <v>0</v>
      </c>
      <c r="I13" s="400">
        <v>0</v>
      </c>
      <c r="J13" s="394">
        <f t="shared" si="0"/>
        <v>0</v>
      </c>
      <c r="K13" s="402">
        <v>0</v>
      </c>
    </row>
    <row r="14" spans="1:11">
      <c r="A14" s="393" t="s">
        <v>89</v>
      </c>
      <c r="B14" s="395">
        <v>20656240.809999999</v>
      </c>
      <c r="C14" s="399">
        <v>0</v>
      </c>
      <c r="D14" s="399">
        <v>0</v>
      </c>
      <c r="E14" s="396">
        <f t="shared" ref="E14:E38" si="1">B14+C14-D14</f>
        <v>20656240.809999999</v>
      </c>
      <c r="F14" s="395">
        <v>20150279.968252428</v>
      </c>
      <c r="G14" s="395">
        <v>505960.84</v>
      </c>
      <c r="H14" s="399">
        <v>0</v>
      </c>
      <c r="I14" s="393">
        <f>F14+G14-H14</f>
        <v>20656240.808252428</v>
      </c>
      <c r="J14" s="394">
        <f t="shared" si="0"/>
        <v>1.7475709319114685E-3</v>
      </c>
      <c r="K14" s="396">
        <v>505960.84174757078</v>
      </c>
    </row>
    <row r="15" spans="1:11">
      <c r="A15" s="393" t="s">
        <v>90</v>
      </c>
      <c r="B15" s="399">
        <v>0</v>
      </c>
      <c r="C15" s="399">
        <v>0</v>
      </c>
      <c r="D15" s="399">
        <v>0</v>
      </c>
      <c r="E15" s="399">
        <v>0</v>
      </c>
      <c r="F15" s="399">
        <v>0</v>
      </c>
      <c r="G15" s="399">
        <v>0</v>
      </c>
      <c r="H15" s="399">
        <v>0</v>
      </c>
      <c r="I15" s="400">
        <v>0</v>
      </c>
      <c r="J15" s="394">
        <f t="shared" si="0"/>
        <v>0</v>
      </c>
      <c r="K15" s="402">
        <v>0</v>
      </c>
    </row>
    <row r="16" spans="1:11">
      <c r="A16" s="393" t="s">
        <v>91</v>
      </c>
      <c r="B16" s="395">
        <v>10344022.4</v>
      </c>
      <c r="C16" s="399">
        <v>0</v>
      </c>
      <c r="D16" s="399">
        <v>0</v>
      </c>
      <c r="E16" s="396">
        <f t="shared" si="1"/>
        <v>10344022.4</v>
      </c>
      <c r="F16" s="395">
        <v>9996941.652038835</v>
      </c>
      <c r="G16" s="395">
        <v>347080.75</v>
      </c>
      <c r="H16" s="399">
        <v>0</v>
      </c>
      <c r="I16" s="393">
        <f t="shared" ref="I16:I21" si="2">F16+G16-H16</f>
        <v>10344022.402038835</v>
      </c>
      <c r="J16" s="394">
        <f t="shared" si="0"/>
        <v>-2.0388346165418625E-3</v>
      </c>
      <c r="K16" s="396">
        <v>347080.74796116538</v>
      </c>
    </row>
    <row r="17" spans="1:11" ht="15.75">
      <c r="A17" s="393" t="s">
        <v>92</v>
      </c>
      <c r="B17" s="395"/>
      <c r="C17" s="395"/>
      <c r="D17" s="399"/>
      <c r="E17" s="398"/>
      <c r="F17" s="395"/>
      <c r="G17" s="395"/>
      <c r="H17" s="399"/>
      <c r="I17" s="404"/>
      <c r="J17" s="394"/>
      <c r="K17" s="242"/>
    </row>
    <row r="18" spans="1:11">
      <c r="A18" s="393" t="s">
        <v>27</v>
      </c>
      <c r="B18" s="395">
        <v>59516765</v>
      </c>
      <c r="C18" s="524">
        <v>33056003</v>
      </c>
      <c r="D18" s="399">
        <v>0</v>
      </c>
      <c r="E18" s="396">
        <f t="shared" si="1"/>
        <v>92572768</v>
      </c>
      <c r="F18" s="395">
        <v>14534742.93581</v>
      </c>
      <c r="G18" s="395">
        <v>6351949.2000000002</v>
      </c>
      <c r="H18" s="399">
        <v>0</v>
      </c>
      <c r="I18" s="393">
        <f>F18+G18-H18</f>
        <v>20886692.135809999</v>
      </c>
      <c r="J18" s="394">
        <f t="shared" si="0"/>
        <v>71686075.864189997</v>
      </c>
      <c r="K18" s="396">
        <v>44982022.074189998</v>
      </c>
    </row>
    <row r="19" spans="1:11">
      <c r="A19" s="393" t="s">
        <v>665</v>
      </c>
      <c r="B19" s="399">
        <v>9870359</v>
      </c>
      <c r="C19" s="399">
        <v>0</v>
      </c>
      <c r="D19" s="399">
        <v>0</v>
      </c>
      <c r="E19" s="396">
        <f t="shared" si="1"/>
        <v>9870359</v>
      </c>
      <c r="F19" s="403">
        <v>7550554.6490000011</v>
      </c>
      <c r="G19" s="395">
        <v>231980.44</v>
      </c>
      <c r="H19" s="399">
        <v>0</v>
      </c>
      <c r="I19" s="393">
        <f t="shared" si="2"/>
        <v>7782535.0890000015</v>
      </c>
      <c r="J19" s="394">
        <f t="shared" si="0"/>
        <v>2087823.9109999985</v>
      </c>
      <c r="K19" s="396">
        <v>2319804.3509999989</v>
      </c>
    </row>
    <row r="20" spans="1:11">
      <c r="A20" s="393" t="s">
        <v>57</v>
      </c>
      <c r="B20" s="399">
        <v>7486041</v>
      </c>
      <c r="C20" s="524">
        <v>0</v>
      </c>
      <c r="D20" s="399">
        <v>0</v>
      </c>
      <c r="E20" s="396">
        <f t="shared" si="1"/>
        <v>7486041</v>
      </c>
      <c r="F20" s="399">
        <v>5105101.9970000004</v>
      </c>
      <c r="G20" s="394">
        <v>238093.9</v>
      </c>
      <c r="H20" s="399">
        <v>0</v>
      </c>
      <c r="I20" s="393">
        <f t="shared" si="2"/>
        <v>5343195.8970000008</v>
      </c>
      <c r="J20" s="394">
        <f t="shared" si="0"/>
        <v>2142845.1029999992</v>
      </c>
      <c r="K20" s="396">
        <v>2380939.0029999996</v>
      </c>
    </row>
    <row r="21" spans="1:11">
      <c r="A21" s="393" t="s">
        <v>58</v>
      </c>
      <c r="B21" s="399">
        <v>220000</v>
      </c>
      <c r="C21" s="524">
        <v>0</v>
      </c>
      <c r="D21" s="399">
        <v>0</v>
      </c>
      <c r="E21" s="396">
        <f t="shared" si="1"/>
        <v>220000</v>
      </c>
      <c r="F21" s="399">
        <v>166874.93100000004</v>
      </c>
      <c r="G21" s="395">
        <v>5312.51</v>
      </c>
      <c r="H21" s="399">
        <v>0</v>
      </c>
      <c r="I21" s="393">
        <f t="shared" si="2"/>
        <v>172187.44100000005</v>
      </c>
      <c r="J21" s="394">
        <f t="shared" si="0"/>
        <v>47812.55899999995</v>
      </c>
      <c r="K21" s="396">
        <v>53125.068999999959</v>
      </c>
    </row>
    <row r="22" spans="1:11">
      <c r="A22" s="393" t="s">
        <v>1031</v>
      </c>
      <c r="B22" s="399">
        <v>2363597887.1399999</v>
      </c>
      <c r="C22" s="395">
        <v>0</v>
      </c>
      <c r="D22" s="399">
        <v>0</v>
      </c>
      <c r="E22" s="396">
        <f>B22+C22-D22</f>
        <v>2363597887.1399999</v>
      </c>
      <c r="F22" s="399">
        <v>1295107345.6840999</v>
      </c>
      <c r="G22" s="395">
        <v>106849053.45</v>
      </c>
      <c r="H22" s="399">
        <v>0</v>
      </c>
      <c r="I22" s="393">
        <f>F22+G22-H22</f>
        <v>1401956399.1341</v>
      </c>
      <c r="J22" s="394">
        <f t="shared" si="0"/>
        <v>961641488.00589991</v>
      </c>
      <c r="K22" s="396">
        <v>1068490541.4559</v>
      </c>
    </row>
    <row r="23" spans="1:11">
      <c r="A23" s="393"/>
      <c r="B23" s="395"/>
      <c r="C23" s="395"/>
      <c r="D23" s="399"/>
      <c r="E23" s="396"/>
      <c r="F23" s="395"/>
      <c r="G23" s="395"/>
      <c r="H23" s="399"/>
      <c r="I23" s="393"/>
      <c r="J23" s="394"/>
      <c r="K23" s="396"/>
    </row>
    <row r="24" spans="1:11">
      <c r="A24" s="393" t="s">
        <v>93</v>
      </c>
      <c r="B24" s="399">
        <v>0</v>
      </c>
      <c r="C24" s="524"/>
      <c r="D24" s="399">
        <v>0</v>
      </c>
      <c r="E24" s="401">
        <v>0</v>
      </c>
      <c r="F24" s="399">
        <v>0</v>
      </c>
      <c r="G24" s="399">
        <v>0</v>
      </c>
      <c r="H24" s="399">
        <v>0</v>
      </c>
      <c r="I24" s="399">
        <v>0</v>
      </c>
      <c r="J24" s="394">
        <f t="shared" si="0"/>
        <v>0</v>
      </c>
      <c r="K24" s="399">
        <v>0</v>
      </c>
    </row>
    <row r="25" spans="1:11">
      <c r="A25" s="393" t="s">
        <v>129</v>
      </c>
      <c r="B25" s="394">
        <v>7500910.3300000001</v>
      </c>
      <c r="C25" s="524">
        <v>0</v>
      </c>
      <c r="D25" s="399">
        <v>0</v>
      </c>
      <c r="E25" s="396">
        <f t="shared" si="1"/>
        <v>7500910.3300000001</v>
      </c>
      <c r="F25" s="395">
        <v>5754227.5917109372</v>
      </c>
      <c r="G25" s="395">
        <v>262002.41</v>
      </c>
      <c r="H25" s="399">
        <v>0</v>
      </c>
      <c r="I25" s="393">
        <f t="shared" ref="I25:I38" si="3">F25+G25-H25</f>
        <v>6016230.0017109374</v>
      </c>
      <c r="J25" s="394">
        <f t="shared" si="0"/>
        <v>1484680.3282890627</v>
      </c>
      <c r="K25" s="396">
        <v>1746682.7382890629</v>
      </c>
    </row>
    <row r="26" spans="1:11">
      <c r="A26" s="393" t="s">
        <v>231</v>
      </c>
      <c r="B26" s="394">
        <v>102429492.23999999</v>
      </c>
      <c r="C26" s="395">
        <v>6330816</v>
      </c>
      <c r="D26" s="524">
        <v>0</v>
      </c>
      <c r="E26" s="396">
        <f t="shared" si="1"/>
        <v>108760308.23999999</v>
      </c>
      <c r="F26" s="395">
        <v>44737277.008137494</v>
      </c>
      <c r="G26" s="395">
        <f>6008390.62+139400.6</f>
        <v>6147791.2199999997</v>
      </c>
      <c r="H26" s="399">
        <v>0</v>
      </c>
      <c r="I26" s="393">
        <f t="shared" si="3"/>
        <v>50885068.228137493</v>
      </c>
      <c r="J26" s="394">
        <f t="shared" si="0"/>
        <v>57875240.011862502</v>
      </c>
      <c r="K26" s="396">
        <v>57692215.221862502</v>
      </c>
    </row>
    <row r="27" spans="1:11">
      <c r="A27" s="393" t="s">
        <v>130</v>
      </c>
      <c r="B27" s="394">
        <v>47817997.280000001</v>
      </c>
      <c r="C27" s="395">
        <v>8382490</v>
      </c>
      <c r="D27" s="524">
        <v>0</v>
      </c>
      <c r="E27" s="396">
        <f t="shared" si="1"/>
        <v>56200487.280000001</v>
      </c>
      <c r="F27" s="395">
        <v>22933569.931606874</v>
      </c>
      <c r="G27" s="395">
        <v>4436140.8499999996</v>
      </c>
      <c r="H27" s="399">
        <v>0</v>
      </c>
      <c r="I27" s="393">
        <f t="shared" si="3"/>
        <v>27369710.781606875</v>
      </c>
      <c r="J27" s="394">
        <f t="shared" si="0"/>
        <v>28830776.498393126</v>
      </c>
      <c r="K27" s="396">
        <v>24884427.348393127</v>
      </c>
    </row>
    <row r="28" spans="1:11">
      <c r="A28" s="393" t="s">
        <v>131</v>
      </c>
      <c r="B28" s="395">
        <v>25361638</v>
      </c>
      <c r="C28" s="395">
        <v>4212372</v>
      </c>
      <c r="D28" s="524">
        <v>0</v>
      </c>
      <c r="E28" s="396">
        <f t="shared" si="1"/>
        <v>29574010</v>
      </c>
      <c r="F28" s="395">
        <v>21228928.656420004</v>
      </c>
      <c r="G28" s="395">
        <v>4116438.25</v>
      </c>
      <c r="H28" s="399">
        <v>0</v>
      </c>
      <c r="I28" s="393">
        <f t="shared" si="3"/>
        <v>25345366.906420004</v>
      </c>
      <c r="J28" s="394">
        <f t="shared" si="0"/>
        <v>4228643.0935799964</v>
      </c>
      <c r="K28" s="396">
        <v>4132709.3435799964</v>
      </c>
    </row>
    <row r="29" spans="1:11">
      <c r="A29" s="393" t="s">
        <v>487</v>
      </c>
      <c r="B29" s="394">
        <v>982928</v>
      </c>
      <c r="C29" s="524">
        <v>910395</v>
      </c>
      <c r="D29" s="524">
        <v>0</v>
      </c>
      <c r="E29" s="396">
        <f t="shared" si="1"/>
        <v>1893323</v>
      </c>
      <c r="F29" s="395">
        <v>458392.41985249997</v>
      </c>
      <c r="G29" s="395">
        <v>132022.66</v>
      </c>
      <c r="H29" s="399">
        <v>0</v>
      </c>
      <c r="I29" s="393">
        <f t="shared" si="3"/>
        <v>590415.0798525</v>
      </c>
      <c r="J29" s="394">
        <f t="shared" si="0"/>
        <v>1302907.9201475</v>
      </c>
      <c r="K29" s="396">
        <v>524535.58014750003</v>
      </c>
    </row>
    <row r="30" spans="1:11">
      <c r="A30" s="393" t="s">
        <v>488</v>
      </c>
      <c r="B30" s="394">
        <v>115962389.56</v>
      </c>
      <c r="C30" s="395">
        <v>11324538</v>
      </c>
      <c r="D30" s="399">
        <v>36812</v>
      </c>
      <c r="E30" s="396">
        <f t="shared" si="1"/>
        <v>127250115.56</v>
      </c>
      <c r="F30" s="395">
        <v>95219775.225160003</v>
      </c>
      <c r="G30" s="395">
        <v>15984177.5</v>
      </c>
      <c r="H30" s="399">
        <v>0</v>
      </c>
      <c r="I30" s="393">
        <f t="shared" si="3"/>
        <v>111203952.72516</v>
      </c>
      <c r="J30" s="394">
        <f t="shared" si="0"/>
        <v>16046162.83484</v>
      </c>
      <c r="K30" s="396">
        <v>20742614.344840001</v>
      </c>
    </row>
    <row r="31" spans="1:11">
      <c r="A31" s="393" t="s">
        <v>489</v>
      </c>
      <c r="B31" s="395">
        <v>5233611.8600000003</v>
      </c>
      <c r="C31" s="524">
        <v>0</v>
      </c>
      <c r="D31" s="524">
        <v>0</v>
      </c>
      <c r="E31" s="396">
        <f t="shared" si="1"/>
        <v>5233611.8600000003</v>
      </c>
      <c r="F31" s="395">
        <v>1758533.619245</v>
      </c>
      <c r="G31" s="395">
        <v>347507.82</v>
      </c>
      <c r="H31" s="399">
        <v>0</v>
      </c>
      <c r="I31" s="393">
        <f t="shared" si="3"/>
        <v>2106041.439245</v>
      </c>
      <c r="J31" s="394">
        <f t="shared" si="0"/>
        <v>3127570.4207550003</v>
      </c>
      <c r="K31" s="396">
        <v>3475078.2407550002</v>
      </c>
    </row>
    <row r="32" spans="1:11">
      <c r="A32" s="393" t="s">
        <v>490</v>
      </c>
      <c r="B32" s="395">
        <v>816963</v>
      </c>
      <c r="C32" s="524">
        <v>0</v>
      </c>
      <c r="D32" s="524">
        <v>0</v>
      </c>
      <c r="E32" s="396">
        <f t="shared" si="1"/>
        <v>816963</v>
      </c>
      <c r="F32" s="395">
        <v>483848.56169031252</v>
      </c>
      <c r="G32" s="395">
        <v>49967.17</v>
      </c>
      <c r="H32" s="399">
        <v>0</v>
      </c>
      <c r="I32" s="393">
        <f t="shared" si="3"/>
        <v>533815.7316903125</v>
      </c>
      <c r="J32" s="394">
        <f t="shared" si="0"/>
        <v>283147.2683096875</v>
      </c>
      <c r="K32" s="396">
        <v>333114.43830968748</v>
      </c>
    </row>
    <row r="33" spans="1:18">
      <c r="A33" s="393" t="s">
        <v>400</v>
      </c>
      <c r="B33" s="395">
        <v>36500000</v>
      </c>
      <c r="C33" s="524">
        <v>0</v>
      </c>
      <c r="D33" s="524">
        <v>0</v>
      </c>
      <c r="E33" s="396">
        <f t="shared" si="1"/>
        <v>36500000</v>
      </c>
      <c r="F33" s="395">
        <v>22358945.48</v>
      </c>
      <c r="G33" s="395">
        <v>1414105.45</v>
      </c>
      <c r="H33" s="399">
        <v>0</v>
      </c>
      <c r="I33" s="393">
        <f t="shared" si="3"/>
        <v>23773050.93</v>
      </c>
      <c r="J33" s="394">
        <f t="shared" si="0"/>
        <v>12726949.07</v>
      </c>
      <c r="K33" s="396">
        <v>14141054.52</v>
      </c>
      <c r="M33" s="525"/>
    </row>
    <row r="34" spans="1:18">
      <c r="A34" s="393" t="s">
        <v>846</v>
      </c>
      <c r="B34" s="399">
        <v>2700000</v>
      </c>
      <c r="C34" s="524">
        <v>0</v>
      </c>
      <c r="D34" s="524">
        <v>0</v>
      </c>
      <c r="E34" s="396">
        <f t="shared" si="1"/>
        <v>2700000</v>
      </c>
      <c r="F34" s="401">
        <v>2376000</v>
      </c>
      <c r="G34" s="395">
        <v>259200</v>
      </c>
      <c r="H34" s="399">
        <v>0</v>
      </c>
      <c r="I34" s="393">
        <f t="shared" si="3"/>
        <v>2635200</v>
      </c>
      <c r="J34" s="394">
        <f t="shared" si="0"/>
        <v>64800</v>
      </c>
      <c r="K34" s="399">
        <v>324000</v>
      </c>
    </row>
    <row r="35" spans="1:18" ht="15.75">
      <c r="A35" s="393" t="s">
        <v>847</v>
      </c>
      <c r="B35" s="394"/>
      <c r="C35" s="394"/>
      <c r="D35" s="399"/>
      <c r="E35" s="396"/>
      <c r="F35" s="395"/>
      <c r="G35" s="395"/>
      <c r="H35" s="399"/>
      <c r="I35" s="393"/>
      <c r="J35" s="394"/>
      <c r="K35" s="242"/>
    </row>
    <row r="36" spans="1:18">
      <c r="A36" s="393" t="s">
        <v>373</v>
      </c>
      <c r="B36" s="394">
        <v>1132602519.6100001</v>
      </c>
      <c r="C36" s="394">
        <f>219644128.42-1263228</f>
        <v>218380900.41999999</v>
      </c>
      <c r="D36" s="399">
        <v>8782754</v>
      </c>
      <c r="E36" s="396">
        <f t="shared" si="1"/>
        <v>1342200666.0300002</v>
      </c>
      <c r="F36" s="395">
        <v>439156360.71768838</v>
      </c>
      <c r="G36" s="395">
        <v>125780006.86</v>
      </c>
      <c r="H36" s="399">
        <v>1263228</v>
      </c>
      <c r="I36" s="393">
        <f t="shared" si="3"/>
        <v>563673139.57768834</v>
      </c>
      <c r="J36" s="394">
        <f>E36-I36+0.01</f>
        <v>778527526.46231186</v>
      </c>
      <c r="K36" s="396">
        <v>693446158.9023118</v>
      </c>
      <c r="L36" s="383" t="s">
        <v>105</v>
      </c>
    </row>
    <row r="37" spans="1:18">
      <c r="A37" s="393" t="s">
        <v>643</v>
      </c>
      <c r="B37" s="399">
        <v>410674080.07999998</v>
      </c>
      <c r="C37" s="524">
        <v>0</v>
      </c>
      <c r="D37" s="399">
        <v>0</v>
      </c>
      <c r="E37" s="396">
        <f t="shared" si="1"/>
        <v>410674080.07999998</v>
      </c>
      <c r="F37" s="394">
        <v>276219212.47775155</v>
      </c>
      <c r="G37" s="395">
        <v>20168230.140000001</v>
      </c>
      <c r="H37" s="399">
        <v>0</v>
      </c>
      <c r="I37" s="393">
        <f t="shared" si="3"/>
        <v>296387442.61775154</v>
      </c>
      <c r="J37" s="394">
        <f t="shared" si="0"/>
        <v>114286637.46224844</v>
      </c>
      <c r="K37" s="396">
        <v>134454867.60224843</v>
      </c>
    </row>
    <row r="38" spans="1:18">
      <c r="A38" s="393" t="s">
        <v>1109</v>
      </c>
      <c r="B38" s="399">
        <v>20927468</v>
      </c>
      <c r="C38" s="399">
        <f>11171141+227977-1263228</f>
        <v>10135890</v>
      </c>
      <c r="D38" s="399">
        <v>0</v>
      </c>
      <c r="E38" s="396">
        <f t="shared" si="1"/>
        <v>31063358</v>
      </c>
      <c r="F38" s="394">
        <v>3943585.1225000001</v>
      </c>
      <c r="G38" s="394">
        <f>2307201.22+17098.28+363144.3+94848.14+71.05+620224.36+563964</f>
        <v>3966551.3499999996</v>
      </c>
      <c r="H38" s="399">
        <v>0</v>
      </c>
      <c r="I38" s="393">
        <f t="shared" si="3"/>
        <v>7910136.4725000001</v>
      </c>
      <c r="J38" s="394">
        <f t="shared" si="0"/>
        <v>23153221.5275</v>
      </c>
      <c r="K38" s="396">
        <v>16983882.8675</v>
      </c>
    </row>
    <row r="39" spans="1:18">
      <c r="A39" s="393"/>
      <c r="B39" s="399"/>
      <c r="C39" s="405"/>
      <c r="D39" s="399"/>
      <c r="E39" s="396"/>
      <c r="F39" s="394"/>
      <c r="H39" s="398"/>
      <c r="I39" s="393"/>
      <c r="J39" s="394"/>
      <c r="K39" s="396"/>
    </row>
    <row r="40" spans="1:18" ht="15.75">
      <c r="A40" s="406"/>
      <c r="B40" s="394"/>
      <c r="C40" s="405"/>
      <c r="D40" s="399"/>
      <c r="E40" s="396"/>
      <c r="F40" s="395"/>
      <c r="G40" s="395"/>
      <c r="H40" s="398"/>
      <c r="I40" s="393"/>
      <c r="J40" s="241"/>
      <c r="K40" s="396"/>
    </row>
    <row r="41" spans="1:18" s="410" customFormat="1">
      <c r="A41" s="407" t="s">
        <v>28</v>
      </c>
      <c r="B41" s="408">
        <f>SUM(B10:B40)</f>
        <v>4390367925.3100004</v>
      </c>
      <c r="C41" s="408">
        <f>SUM(C10:C40)</f>
        <v>292733404.41999996</v>
      </c>
      <c r="D41" s="408">
        <f>SUM(D10:D40)</f>
        <v>8819566</v>
      </c>
      <c r="E41" s="409">
        <f>B41+C41-D41</f>
        <v>4674281763.7300005</v>
      </c>
      <c r="F41" s="409">
        <f>SUM(F10:F38)</f>
        <v>2289240498.6289639</v>
      </c>
      <c r="G41" s="408">
        <f>SUM(G10:G40)</f>
        <v>297593572.76999998</v>
      </c>
      <c r="H41" s="408">
        <f>SUM(H10:H40)</f>
        <v>1263228</v>
      </c>
      <c r="I41" s="407">
        <f>SUM(I10:I40)</f>
        <v>2585570843.3989644</v>
      </c>
      <c r="J41" s="408">
        <f>SUM(J10:J40)</f>
        <v>2088710920.3410351</v>
      </c>
      <c r="K41" s="409">
        <f>SUM(K10:K40)-0.01</f>
        <v>2101127426.6810362</v>
      </c>
    </row>
    <row r="42" spans="1:18" s="410" customFormat="1" ht="15.75">
      <c r="A42" s="407"/>
      <c r="B42" s="408"/>
      <c r="C42" s="408"/>
      <c r="D42" s="408"/>
      <c r="E42" s="409"/>
      <c r="F42" s="408"/>
      <c r="G42" s="408"/>
      <c r="H42" s="411"/>
      <c r="I42" s="407"/>
      <c r="J42" s="241"/>
      <c r="K42" s="409"/>
      <c r="M42" s="383"/>
      <c r="R42" s="383"/>
    </row>
    <row r="43" spans="1:18" s="410" customFormat="1">
      <c r="A43" s="407" t="s">
        <v>29</v>
      </c>
      <c r="B43" s="408">
        <v>4058503865.3099999</v>
      </c>
      <c r="C43" s="408">
        <v>333196609</v>
      </c>
      <c r="D43" s="408">
        <v>1332549</v>
      </c>
      <c r="E43" s="409">
        <v>4390367925.3099995</v>
      </c>
      <c r="F43" s="409">
        <v>1988174971.7789643</v>
      </c>
      <c r="G43" s="408">
        <v>301065526.85000002</v>
      </c>
      <c r="H43" s="408">
        <v>0</v>
      </c>
      <c r="I43" s="407">
        <v>2289240498.6289639</v>
      </c>
      <c r="J43" s="408">
        <v>2101127426.6800001</v>
      </c>
      <c r="K43" s="409">
        <v>2070328893.5310357</v>
      </c>
    </row>
    <row r="44" spans="1:18" s="410" customFormat="1" ht="15.75">
      <c r="A44" s="407"/>
      <c r="B44" s="412"/>
      <c r="C44" s="412"/>
      <c r="D44" s="413"/>
      <c r="E44" s="409"/>
      <c r="F44" s="412"/>
      <c r="G44" s="412"/>
      <c r="H44" s="414"/>
      <c r="I44" s="407"/>
      <c r="J44" s="241"/>
      <c r="K44" s="415"/>
      <c r="M44" s="383"/>
    </row>
    <row r="45" spans="1:18" ht="15.75">
      <c r="A45" s="407" t="s">
        <v>30</v>
      </c>
      <c r="B45" s="399"/>
      <c r="C45" s="395"/>
      <c r="D45" s="399"/>
      <c r="E45" s="396"/>
      <c r="F45" s="395"/>
      <c r="G45" s="395"/>
      <c r="H45" s="398"/>
      <c r="I45" s="393"/>
      <c r="J45" s="241"/>
      <c r="K45" s="396"/>
    </row>
    <row r="46" spans="1:18">
      <c r="A46" s="393" t="s">
        <v>31</v>
      </c>
      <c r="B46" s="399">
        <v>0</v>
      </c>
      <c r="C46" s="399">
        <v>0</v>
      </c>
      <c r="D46" s="399">
        <v>0</v>
      </c>
      <c r="E46" s="399">
        <v>0</v>
      </c>
      <c r="F46" s="399">
        <v>0</v>
      </c>
      <c r="G46" s="399">
        <v>0</v>
      </c>
      <c r="H46" s="399">
        <v>0</v>
      </c>
      <c r="I46" s="404">
        <f t="shared" ref="I46:K50" si="4">F46+G46-H46</f>
        <v>0</v>
      </c>
      <c r="J46" s="394">
        <f t="shared" ref="J46:J50" si="5">E46-I46</f>
        <v>0</v>
      </c>
      <c r="K46" s="416">
        <f t="shared" si="4"/>
        <v>0</v>
      </c>
    </row>
    <row r="47" spans="1:18">
      <c r="A47" s="393" t="s">
        <v>32</v>
      </c>
      <c r="B47" s="399">
        <v>0</v>
      </c>
      <c r="C47" s="399">
        <v>0</v>
      </c>
      <c r="D47" s="399">
        <v>0</v>
      </c>
      <c r="E47" s="399">
        <v>0</v>
      </c>
      <c r="F47" s="399">
        <v>0</v>
      </c>
      <c r="G47" s="399">
        <v>0</v>
      </c>
      <c r="H47" s="399">
        <v>0</v>
      </c>
      <c r="I47" s="404">
        <f t="shared" si="4"/>
        <v>0</v>
      </c>
      <c r="J47" s="394">
        <f t="shared" si="5"/>
        <v>0</v>
      </c>
      <c r="K47" s="416">
        <f t="shared" si="4"/>
        <v>0</v>
      </c>
    </row>
    <row r="48" spans="1:18">
      <c r="A48" s="393" t="s">
        <v>33</v>
      </c>
      <c r="B48" s="399">
        <v>0</v>
      </c>
      <c r="C48" s="399">
        <v>0</v>
      </c>
      <c r="D48" s="399">
        <v>0</v>
      </c>
      <c r="E48" s="399">
        <v>0</v>
      </c>
      <c r="F48" s="399">
        <v>0</v>
      </c>
      <c r="G48" s="399">
        <v>0</v>
      </c>
      <c r="H48" s="399">
        <v>0</v>
      </c>
      <c r="I48" s="404">
        <f t="shared" si="4"/>
        <v>0</v>
      </c>
      <c r="J48" s="394">
        <f t="shared" si="5"/>
        <v>0</v>
      </c>
      <c r="K48" s="416">
        <f t="shared" si="4"/>
        <v>0</v>
      </c>
    </row>
    <row r="49" spans="1:13">
      <c r="A49" s="394" t="s">
        <v>34</v>
      </c>
      <c r="B49" s="396">
        <v>0</v>
      </c>
      <c r="C49" s="399">
        <v>0</v>
      </c>
      <c r="D49" s="399">
        <v>0</v>
      </c>
      <c r="E49" s="399">
        <v>0</v>
      </c>
      <c r="F49" s="399">
        <v>0</v>
      </c>
      <c r="G49" s="399">
        <v>0</v>
      </c>
      <c r="H49" s="399">
        <v>0</v>
      </c>
      <c r="I49" s="404">
        <f t="shared" si="4"/>
        <v>0</v>
      </c>
      <c r="J49" s="394">
        <f t="shared" si="5"/>
        <v>0</v>
      </c>
      <c r="K49" s="396">
        <v>0</v>
      </c>
    </row>
    <row r="50" spans="1:13">
      <c r="A50" s="394" t="s">
        <v>1422</v>
      </c>
      <c r="B50" s="396">
        <v>0</v>
      </c>
      <c r="C50" s="399">
        <v>16255598</v>
      </c>
      <c r="D50" s="396">
        <v>0</v>
      </c>
      <c r="E50" s="396">
        <f t="shared" ref="E50" si="6">B50+C50-D50</f>
        <v>16255598</v>
      </c>
      <c r="F50" s="396">
        <v>0</v>
      </c>
      <c r="G50" s="396">
        <v>0</v>
      </c>
      <c r="H50" s="396">
        <v>0</v>
      </c>
      <c r="I50" s="393">
        <f t="shared" si="4"/>
        <v>0</v>
      </c>
      <c r="J50" s="394">
        <f t="shared" si="5"/>
        <v>16255598</v>
      </c>
      <c r="K50" s="396">
        <v>0</v>
      </c>
    </row>
    <row r="51" spans="1:13">
      <c r="A51" s="394"/>
      <c r="B51" s="402"/>
      <c r="C51" s="399"/>
      <c r="D51" s="399"/>
      <c r="E51" s="396"/>
      <c r="F51" s="399"/>
      <c r="G51" s="399"/>
      <c r="H51" s="398"/>
      <c r="I51" s="404"/>
      <c r="J51" s="394"/>
      <c r="K51" s="416"/>
    </row>
    <row r="52" spans="1:13" s="410" customFormat="1">
      <c r="A52" s="408" t="s">
        <v>118</v>
      </c>
      <c r="B52" s="417">
        <f>SUM(B46:B49)</f>
        <v>0</v>
      </c>
      <c r="C52" s="417">
        <f>SUM(C46:C50)</f>
        <v>16255598</v>
      </c>
      <c r="D52" s="417">
        <f t="shared" ref="D52:K52" si="7">SUM(D46:D49)</f>
        <v>0</v>
      </c>
      <c r="E52" s="417">
        <f t="shared" si="7"/>
        <v>0</v>
      </c>
      <c r="F52" s="417">
        <f t="shared" si="7"/>
        <v>0</v>
      </c>
      <c r="G52" s="417">
        <f t="shared" si="7"/>
        <v>0</v>
      </c>
      <c r="H52" s="417">
        <f t="shared" si="7"/>
        <v>0</v>
      </c>
      <c r="I52" s="417">
        <f>SUM(I46:I50)</f>
        <v>0</v>
      </c>
      <c r="J52" s="417">
        <f>SUM(J46:J50)</f>
        <v>16255598</v>
      </c>
      <c r="K52" s="417">
        <f t="shared" si="7"/>
        <v>0</v>
      </c>
      <c r="M52" s="383"/>
    </row>
    <row r="53" spans="1:13" s="410" customFormat="1" ht="13.5" thickBot="1">
      <c r="A53" s="418"/>
      <c r="B53" s="417"/>
      <c r="C53" s="419"/>
      <c r="D53" s="419"/>
      <c r="E53" s="417"/>
      <c r="F53" s="419"/>
      <c r="G53" s="419"/>
      <c r="H53" s="420"/>
      <c r="I53" s="421"/>
      <c r="J53" s="394"/>
      <c r="K53" s="422"/>
      <c r="M53" s="383"/>
    </row>
    <row r="54" spans="1:13" s="426" customFormat="1" ht="20.25" thickBot="1">
      <c r="A54" s="423" t="s">
        <v>35</v>
      </c>
      <c r="B54" s="424">
        <f>B41+B52</f>
        <v>4390367925.3100004</v>
      </c>
      <c r="C54" s="425">
        <f t="shared" ref="C54:I54" si="8">C41+C52</f>
        <v>308989002.41999996</v>
      </c>
      <c r="D54" s="425">
        <f t="shared" si="8"/>
        <v>8819566</v>
      </c>
      <c r="E54" s="424">
        <f t="shared" si="8"/>
        <v>4674281763.7300005</v>
      </c>
      <c r="F54" s="424">
        <f t="shared" si="8"/>
        <v>2289240498.6289639</v>
      </c>
      <c r="G54" s="424">
        <f>G41+G52</f>
        <v>297593572.76999998</v>
      </c>
      <c r="H54" s="424">
        <f t="shared" si="8"/>
        <v>1263228</v>
      </c>
      <c r="I54" s="424">
        <f t="shared" si="8"/>
        <v>2585570843.3989644</v>
      </c>
      <c r="J54" s="424">
        <f>J41+J52-0.01</f>
        <v>2104966518.3310351</v>
      </c>
      <c r="K54" s="424">
        <f>K41+K52</f>
        <v>2101127426.6810362</v>
      </c>
    </row>
    <row r="55" spans="1:13" ht="15.75">
      <c r="J55" s="211"/>
    </row>
    <row r="57" spans="1:13" ht="15.75">
      <c r="C57" s="427"/>
      <c r="J57" s="211"/>
    </row>
    <row r="65" spans="1:11" ht="15.75">
      <c r="A65" s="603" t="s">
        <v>807</v>
      </c>
      <c r="B65" s="603"/>
      <c r="C65" s="603"/>
      <c r="D65" s="603"/>
      <c r="E65" s="603"/>
      <c r="F65" s="603"/>
      <c r="G65" s="603"/>
      <c r="H65" s="603"/>
      <c r="I65" s="603"/>
      <c r="J65" s="603"/>
      <c r="K65" s="603"/>
    </row>
    <row r="68" spans="1:11">
      <c r="C68" s="383">
        <v>118.42</v>
      </c>
    </row>
    <row r="69" spans="1:11">
      <c r="B69" s="383">
        <f>B41+C41-D41</f>
        <v>4674281763.7300005</v>
      </c>
      <c r="C69" s="428">
        <v>16983882.870000001</v>
      </c>
      <c r="D69" s="383">
        <f>+C54-D54+C68+C69</f>
        <v>317153437.70999998</v>
      </c>
    </row>
  </sheetData>
  <mergeCells count="8">
    <mergeCell ref="A65:K65"/>
    <mergeCell ref="A1:K1"/>
    <mergeCell ref="A3:K3"/>
    <mergeCell ref="J4:K4"/>
    <mergeCell ref="B6:E6"/>
    <mergeCell ref="F6:I6"/>
    <mergeCell ref="J6:K6"/>
    <mergeCell ref="A6:A7"/>
  </mergeCells>
  <phoneticPr fontId="0" type="noConversion"/>
  <printOptions horizontalCentered="1"/>
  <pageMargins left="0.19685039370078741" right="0.19685039370078741" top="0.39370078740157483" bottom="0.19685039370078741" header="0" footer="0"/>
  <pageSetup paperSize="9" scale="61" orientation="landscape" horizontalDpi="4294967293" verticalDpi="4294967293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19</vt:i4>
      </vt:variant>
    </vt:vector>
  </HeadingPairs>
  <TitlesOfParts>
    <vt:vector size="45" baseType="lpstr">
      <vt:lpstr>BS</vt:lpstr>
      <vt:lpstr>IE</vt:lpstr>
      <vt:lpstr>Capi</vt:lpstr>
      <vt:lpstr>S 3</vt:lpstr>
      <vt:lpstr>R&amp;P</vt:lpstr>
      <vt:lpstr>S 4</vt:lpstr>
      <vt:lpstr>S 5 6</vt:lpstr>
      <vt:lpstr>S 7</vt:lpstr>
      <vt:lpstr>S 8</vt:lpstr>
      <vt:lpstr>S 9 10</vt:lpstr>
      <vt:lpstr>S 11 </vt:lpstr>
      <vt:lpstr>S 11 c</vt:lpstr>
      <vt:lpstr>S 12 13</vt:lpstr>
      <vt:lpstr>S 14 15</vt:lpstr>
      <vt:lpstr>S 16 17</vt:lpstr>
      <vt:lpstr>S 18  20</vt:lpstr>
      <vt:lpstr>S 21</vt:lpstr>
      <vt:lpstr>S 22 23</vt:lpstr>
      <vt:lpstr>Dep {Minor Civil Works}</vt:lpstr>
      <vt:lpstr>Dep</vt:lpstr>
      <vt:lpstr>Cal FA</vt:lpstr>
      <vt:lpstr>Amortization</vt:lpstr>
      <vt:lpstr>Closing Stock</vt:lpstr>
      <vt:lpstr>Medical Equipment- Projects</vt:lpstr>
      <vt:lpstr>Sales of Assets</vt:lpstr>
      <vt:lpstr>Detailed of Sales of Assets</vt:lpstr>
      <vt:lpstr>BS!Print_Area</vt:lpstr>
      <vt:lpstr>Capi!Print_Area</vt:lpstr>
      <vt:lpstr>Dep!Print_Area</vt:lpstr>
      <vt:lpstr>IE!Print_Area</vt:lpstr>
      <vt:lpstr>'R&amp;P'!Print_Area</vt:lpstr>
      <vt:lpstr>'S 11 '!Print_Area</vt:lpstr>
      <vt:lpstr>'S 11 c'!Print_Area</vt:lpstr>
      <vt:lpstr>'S 12 13'!Print_Area</vt:lpstr>
      <vt:lpstr>'S 14 15'!Print_Area</vt:lpstr>
      <vt:lpstr>'S 16 17'!Print_Area</vt:lpstr>
      <vt:lpstr>'S 18  20'!Print_Area</vt:lpstr>
      <vt:lpstr>'S 21'!Print_Area</vt:lpstr>
      <vt:lpstr>'S 22 23'!Print_Area</vt:lpstr>
      <vt:lpstr>'S 3'!Print_Area</vt:lpstr>
      <vt:lpstr>'S 4'!Print_Area</vt:lpstr>
      <vt:lpstr>'S 5 6'!Print_Area</vt:lpstr>
      <vt:lpstr>'S 7'!Print_Area</vt:lpstr>
      <vt:lpstr>'S 8'!Print_Area</vt:lpstr>
      <vt:lpstr>'S 9 10'!Print_Area</vt:lpstr>
    </vt:vector>
  </TitlesOfParts>
  <Company>NEIGRIHMS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Lamare</dc:creator>
  <cp:lastModifiedBy>hcl</cp:lastModifiedBy>
  <cp:lastPrinted>2015-09-09T10:00:42Z</cp:lastPrinted>
  <dcterms:created xsi:type="dcterms:W3CDTF">2005-10-14T09:04:47Z</dcterms:created>
  <dcterms:modified xsi:type="dcterms:W3CDTF">2015-09-09T10:01:30Z</dcterms:modified>
</cp:coreProperties>
</file>